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75" activeTab="3"/>
  </bookViews>
  <sheets>
    <sheet name="spł poż" sheetId="12" r:id="rId1"/>
    <sheet name="spł obligacji" sheetId="1" r:id="rId2"/>
    <sheet name="Arkusz5" sheetId="2" r:id="rId3"/>
    <sheet name="WPF" sheetId="3" r:id="rId4"/>
    <sheet name="Prognoza długu" sheetId="4" r:id="rId5"/>
    <sheet name="Wykaz przedsięwzięć" sheetId="5" r:id="rId6"/>
  </sheets>
  <definedNames>
    <definedName name="_xlnm.Print_Area" localSheetId="4">'Prognoza długu'!$I$16</definedName>
    <definedName name="_xlnm.Print_Titles" localSheetId="5">'Wykaz przedsięwzięć'!$8:$9</definedName>
  </definedNames>
  <calcPr calcId="124519"/>
</workbook>
</file>

<file path=xl/calcChain.xml><?xml version="1.0" encoding="utf-8"?>
<calcChain xmlns="http://schemas.openxmlformats.org/spreadsheetml/2006/main">
  <c r="H66" i="3"/>
  <c r="H10" i="4"/>
  <c r="G10" l="1"/>
  <c r="S15" i="5"/>
  <c r="R15"/>
  <c r="S18"/>
  <c r="R17"/>
  <c r="R28"/>
  <c r="R46"/>
  <c r="R43"/>
  <c r="R42"/>
  <c r="S52"/>
  <c r="R52"/>
  <c r="M52"/>
  <c r="N52"/>
  <c r="R63"/>
  <c r="R62"/>
  <c r="R58"/>
  <c r="L52"/>
  <c r="R53"/>
  <c r="R60"/>
  <c r="S53"/>
  <c r="M53"/>
  <c r="L53"/>
  <c r="S63"/>
  <c r="H44" i="4"/>
  <c r="H45"/>
  <c r="H43"/>
  <c r="H42"/>
  <c r="G26"/>
  <c r="G25"/>
  <c r="R35" i="3"/>
  <c r="K80" l="1"/>
  <c r="L80"/>
  <c r="M80"/>
  <c r="N80"/>
  <c r="O80"/>
  <c r="P80"/>
  <c r="Q80"/>
  <c r="R80"/>
  <c r="K81"/>
  <c r="L81"/>
  <c r="M81"/>
  <c r="N81"/>
  <c r="O81"/>
  <c r="P81"/>
  <c r="Q81"/>
  <c r="R81"/>
  <c r="K82"/>
  <c r="L82"/>
  <c r="M82"/>
  <c r="N82"/>
  <c r="O82"/>
  <c r="P82"/>
  <c r="Q82"/>
  <c r="R82"/>
  <c r="J81"/>
  <c r="J82"/>
  <c r="J80"/>
  <c r="J29"/>
  <c r="K22"/>
  <c r="I81" l="1"/>
  <c r="I82"/>
  <c r="G46" i="4"/>
  <c r="J33" i="2"/>
  <c r="J9"/>
  <c r="I30" i="3" l="1"/>
  <c r="I80" s="1"/>
  <c r="H37"/>
  <c r="L37"/>
  <c r="K37"/>
  <c r="I37"/>
  <c r="R32"/>
  <c r="Q32"/>
  <c r="P32"/>
  <c r="O32"/>
  <c r="N32"/>
  <c r="M32"/>
  <c r="L32"/>
  <c r="K32"/>
  <c r="J32"/>
  <c r="I32"/>
  <c r="J10" i="1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K9"/>
  <c r="J9"/>
  <c r="K4"/>
  <c r="J4"/>
  <c r="J10" i="2"/>
  <c r="K10"/>
  <c r="J11"/>
  <c r="K11"/>
  <c r="J12"/>
  <c r="K12"/>
  <c r="J14"/>
  <c r="K14"/>
  <c r="J15"/>
  <c r="K15"/>
  <c r="J16"/>
  <c r="K16"/>
  <c r="J18"/>
  <c r="K18"/>
  <c r="J19"/>
  <c r="K19"/>
  <c r="J20"/>
  <c r="K20"/>
  <c r="J22"/>
  <c r="K22"/>
  <c r="J23"/>
  <c r="K23"/>
  <c r="J24"/>
  <c r="K24"/>
  <c r="J26"/>
  <c r="K26"/>
  <c r="J27"/>
  <c r="K27"/>
  <c r="J28"/>
  <c r="K28"/>
  <c r="J30"/>
  <c r="K30"/>
  <c r="J31"/>
  <c r="K31"/>
  <c r="J32"/>
  <c r="K32"/>
  <c r="J34"/>
  <c r="K34"/>
  <c r="J35"/>
  <c r="K35"/>
  <c r="J36"/>
  <c r="K36"/>
  <c r="J38"/>
  <c r="K38"/>
  <c r="J39"/>
  <c r="K39"/>
  <c r="J40"/>
  <c r="K40"/>
  <c r="J42"/>
  <c r="K42"/>
  <c r="J43"/>
  <c r="K43"/>
  <c r="J44"/>
  <c r="K44"/>
  <c r="K9"/>
  <c r="I33" i="3" s="1"/>
  <c r="K4" i="2"/>
  <c r="J4"/>
  <c r="G45" i="1"/>
  <c r="G41"/>
  <c r="G37"/>
  <c r="G33"/>
  <c r="D39"/>
  <c r="G29"/>
  <c r="F45" i="12"/>
  <c r="F46" s="1"/>
  <c r="H42"/>
  <c r="G44"/>
  <c r="G40"/>
  <c r="G36"/>
  <c r="G32"/>
  <c r="G28"/>
  <c r="E8"/>
  <c r="E16"/>
  <c r="H29"/>
  <c r="F40"/>
  <c r="F44"/>
  <c r="D40"/>
  <c r="D34"/>
  <c r="H34" s="1"/>
  <c r="F32"/>
  <c r="H30"/>
  <c r="D8"/>
  <c r="D7"/>
  <c r="C4"/>
  <c r="E4" s="1"/>
  <c r="G4" s="1"/>
  <c r="M39" i="5"/>
  <c r="M43"/>
  <c r="M42" s="1"/>
  <c r="I37"/>
  <c r="I47"/>
  <c r="R44"/>
  <c r="O63"/>
  <c r="O62" s="1"/>
  <c r="O60"/>
  <c r="O58"/>
  <c r="O52"/>
  <c r="O43"/>
  <c r="O42" s="1"/>
  <c r="O17" s="1"/>
  <c r="O28"/>
  <c r="O18"/>
  <c r="O12"/>
  <c r="I29" i="3" l="1"/>
  <c r="H38" i="12"/>
  <c r="F36"/>
  <c r="D9"/>
  <c r="C5"/>
  <c r="H6"/>
  <c r="O15" i="5"/>
  <c r="O14" s="1"/>
  <c r="O13" s="1"/>
  <c r="O11" s="1"/>
  <c r="O16"/>
  <c r="I84" i="3" l="1"/>
  <c r="C6" i="12"/>
  <c r="E5"/>
  <c r="D10"/>
  <c r="D11" s="1"/>
  <c r="D12" s="1"/>
  <c r="D13" s="1"/>
  <c r="G60" i="3"/>
  <c r="H53"/>
  <c r="D14" i="12" l="1"/>
  <c r="D15" s="1"/>
  <c r="D16" s="1"/>
  <c r="D17" s="1"/>
  <c r="E6"/>
  <c r="C7"/>
  <c r="F12"/>
  <c r="F45" i="1"/>
  <c r="K79" i="3"/>
  <c r="N79"/>
  <c r="P79"/>
  <c r="R79"/>
  <c r="I79"/>
  <c r="J79"/>
  <c r="H73"/>
  <c r="G73"/>
  <c r="F73"/>
  <c r="E73"/>
  <c r="D73"/>
  <c r="D28" i="4"/>
  <c r="E28"/>
  <c r="F28"/>
  <c r="G28"/>
  <c r="C28"/>
  <c r="G28" i="3"/>
  <c r="I38" i="5"/>
  <c r="I33"/>
  <c r="I30"/>
  <c r="I60"/>
  <c r="R59"/>
  <c r="I56"/>
  <c r="M24"/>
  <c r="K24"/>
  <c r="I26"/>
  <c r="R55"/>
  <c r="R56"/>
  <c r="R57"/>
  <c r="R61"/>
  <c r="R64"/>
  <c r="R65"/>
  <c r="R66"/>
  <c r="R67"/>
  <c r="R68"/>
  <c r="R69"/>
  <c r="R70"/>
  <c r="R71"/>
  <c r="R72"/>
  <c r="R54"/>
  <c r="R41"/>
  <c r="R40"/>
  <c r="R39"/>
  <c r="R38"/>
  <c r="R37"/>
  <c r="R26"/>
  <c r="R25"/>
  <c r="K51"/>
  <c r="L51" s="1"/>
  <c r="K43"/>
  <c r="K42" s="1"/>
  <c r="K39"/>
  <c r="K35"/>
  <c r="K32"/>
  <c r="L32"/>
  <c r="L12"/>
  <c r="K12"/>
  <c r="R34"/>
  <c r="R33"/>
  <c r="R32"/>
  <c r="R31"/>
  <c r="R30"/>
  <c r="R29"/>
  <c r="L64"/>
  <c r="L65"/>
  <c r="L66"/>
  <c r="L67"/>
  <c r="L68"/>
  <c r="L69"/>
  <c r="L70"/>
  <c r="L71"/>
  <c r="L72"/>
  <c r="L63"/>
  <c r="L62"/>
  <c r="L61"/>
  <c r="L55"/>
  <c r="L56"/>
  <c r="L57"/>
  <c r="L58"/>
  <c r="L59"/>
  <c r="L60"/>
  <c r="L54"/>
  <c r="L25"/>
  <c r="L26"/>
  <c r="L27"/>
  <c r="I27" s="1"/>
  <c r="I24" s="1"/>
  <c r="L29"/>
  <c r="L30"/>
  <c r="L31"/>
  <c r="L33"/>
  <c r="L34"/>
  <c r="L35"/>
  <c r="L36"/>
  <c r="L37"/>
  <c r="L38"/>
  <c r="L39"/>
  <c r="L40"/>
  <c r="L41"/>
  <c r="L44"/>
  <c r="L45"/>
  <c r="I45" s="1"/>
  <c r="L46"/>
  <c r="L47"/>
  <c r="R47" s="1"/>
  <c r="L48"/>
  <c r="I48" s="1"/>
  <c r="L49"/>
  <c r="R49" s="1"/>
  <c r="L50"/>
  <c r="R50" s="1"/>
  <c r="K19"/>
  <c r="K18" s="1"/>
  <c r="L21"/>
  <c r="I21" s="1"/>
  <c r="I19" s="1"/>
  <c r="L22"/>
  <c r="R22" s="1"/>
  <c r="L20"/>
  <c r="R20" s="1"/>
  <c r="J12"/>
  <c r="F10" i="4"/>
  <c r="F52"/>
  <c r="C5" i="1"/>
  <c r="H7"/>
  <c r="F33"/>
  <c r="D34"/>
  <c r="F37" s="1"/>
  <c r="D35"/>
  <c r="F41"/>
  <c r="C5" i="2"/>
  <c r="E5"/>
  <c r="G5"/>
  <c r="C6"/>
  <c r="E6"/>
  <c r="C7"/>
  <c r="C8"/>
  <c r="E8" s="1"/>
  <c r="C10"/>
  <c r="F9"/>
  <c r="F13"/>
  <c r="J13" s="1"/>
  <c r="J30" i="3" s="1"/>
  <c r="F17" i="2"/>
  <c r="J17" s="1"/>
  <c r="K30" i="3" s="1"/>
  <c r="K29" s="1"/>
  <c r="D18" i="2"/>
  <c r="F25"/>
  <c r="J25" s="1"/>
  <c r="M30" i="3" s="1"/>
  <c r="M29" s="1"/>
  <c r="F29" i="2"/>
  <c r="J29" s="1"/>
  <c r="N30" i="3" s="1"/>
  <c r="N29" s="1"/>
  <c r="F33" i="2"/>
  <c r="O30" i="3" s="1"/>
  <c r="O29" s="1"/>
  <c r="D35" i="2"/>
  <c r="F37" s="1"/>
  <c r="J37" s="1"/>
  <c r="P30" i="3" s="1"/>
  <c r="D38" i="2"/>
  <c r="D39" s="1"/>
  <c r="F45"/>
  <c r="J45" s="1"/>
  <c r="R30" i="3" s="1"/>
  <c r="R29" s="1"/>
  <c r="C14" i="4"/>
  <c r="D14"/>
  <c r="E14"/>
  <c r="F14"/>
  <c r="G14"/>
  <c r="C21"/>
  <c r="D21"/>
  <c r="E21"/>
  <c r="F21"/>
  <c r="G21"/>
  <c r="H21"/>
  <c r="I21"/>
  <c r="J21"/>
  <c r="K21"/>
  <c r="L21"/>
  <c r="M21"/>
  <c r="N21"/>
  <c r="O21"/>
  <c r="P21"/>
  <c r="Q21"/>
  <c r="C22"/>
  <c r="D22"/>
  <c r="E22"/>
  <c r="F22"/>
  <c r="G22"/>
  <c r="H22"/>
  <c r="I22"/>
  <c r="J22"/>
  <c r="N22"/>
  <c r="C23"/>
  <c r="D23"/>
  <c r="E23"/>
  <c r="F23"/>
  <c r="G23"/>
  <c r="H23"/>
  <c r="I23"/>
  <c r="J23"/>
  <c r="K23"/>
  <c r="L23"/>
  <c r="M23"/>
  <c r="N23"/>
  <c r="O23"/>
  <c r="P23"/>
  <c r="Q23"/>
  <c r="C25"/>
  <c r="C56" s="1"/>
  <c r="D25"/>
  <c r="D56" s="1"/>
  <c r="E25"/>
  <c r="F71" i="3" s="1"/>
  <c r="F25" i="4"/>
  <c r="F56" s="1"/>
  <c r="G56"/>
  <c r="C26"/>
  <c r="D26"/>
  <c r="E26"/>
  <c r="F26"/>
  <c r="L26"/>
  <c r="M26"/>
  <c r="P26"/>
  <c r="Q26"/>
  <c r="C46"/>
  <c r="D46"/>
  <c r="E46"/>
  <c r="F46"/>
  <c r="H46"/>
  <c r="I46"/>
  <c r="J46"/>
  <c r="K46"/>
  <c r="L46"/>
  <c r="M46"/>
  <c r="N46"/>
  <c r="O46"/>
  <c r="P46"/>
  <c r="Q46"/>
  <c r="C52"/>
  <c r="D52"/>
  <c r="E52"/>
  <c r="G52"/>
  <c r="G53"/>
  <c r="H53"/>
  <c r="M53"/>
  <c r="M43" s="1"/>
  <c r="N53"/>
  <c r="N43" s="1"/>
  <c r="G54"/>
  <c r="H54"/>
  <c r="I54"/>
  <c r="I44" s="1"/>
  <c r="J54"/>
  <c r="J44" s="1"/>
  <c r="K54"/>
  <c r="K44" s="1"/>
  <c r="L54"/>
  <c r="L44" s="1"/>
  <c r="M54"/>
  <c r="M44" s="1"/>
  <c r="N54"/>
  <c r="N44" s="1"/>
  <c r="O54"/>
  <c r="O44" s="1"/>
  <c r="P54"/>
  <c r="P44" s="1"/>
  <c r="Q54"/>
  <c r="Q44" s="1"/>
  <c r="G55"/>
  <c r="H55"/>
  <c r="I55"/>
  <c r="I45" s="1"/>
  <c r="J55"/>
  <c r="J45" s="1"/>
  <c r="K55"/>
  <c r="K45" s="1"/>
  <c r="L55"/>
  <c r="L45" s="1"/>
  <c r="M55"/>
  <c r="M45" s="1"/>
  <c r="N55"/>
  <c r="N45" s="1"/>
  <c r="O55"/>
  <c r="O45" s="1"/>
  <c r="P55"/>
  <c r="P45" s="1"/>
  <c r="Q55"/>
  <c r="Q45" s="1"/>
  <c r="D13" i="3"/>
  <c r="C19" i="4"/>
  <c r="E13" i="3"/>
  <c r="E23" s="1"/>
  <c r="E27" s="1"/>
  <c r="F13"/>
  <c r="E19" i="4" s="1"/>
  <c r="G13" i="3"/>
  <c r="H13"/>
  <c r="G16" i="4" s="1"/>
  <c r="I13" i="3"/>
  <c r="I23" s="1"/>
  <c r="I27" s="1"/>
  <c r="J13"/>
  <c r="J23" s="1"/>
  <c r="J27" s="1"/>
  <c r="K13"/>
  <c r="O13"/>
  <c r="K22" i="4"/>
  <c r="M15" i="3"/>
  <c r="M13" s="1"/>
  <c r="M23" s="1"/>
  <c r="M27" s="1"/>
  <c r="N15"/>
  <c r="M22" i="4" s="1"/>
  <c r="P15" i="3"/>
  <c r="P13" s="1"/>
  <c r="P23" s="1"/>
  <c r="P27" s="1"/>
  <c r="Q15"/>
  <c r="P22" i="4" s="1"/>
  <c r="R15" i="3"/>
  <c r="I18"/>
  <c r="J18" s="1"/>
  <c r="K18" s="1"/>
  <c r="L18" s="1"/>
  <c r="M18" s="1"/>
  <c r="N18" s="1"/>
  <c r="O18" s="1"/>
  <c r="N19"/>
  <c r="O19" s="1"/>
  <c r="P19" s="1"/>
  <c r="R19" s="1"/>
  <c r="D23"/>
  <c r="D27" s="1"/>
  <c r="F23"/>
  <c r="F27" s="1"/>
  <c r="K23"/>
  <c r="K27" s="1"/>
  <c r="O23"/>
  <c r="O27" s="1"/>
  <c r="D28"/>
  <c r="C18" i="4" s="1"/>
  <c r="E28" i="3"/>
  <c r="D18" i="4" s="1"/>
  <c r="F28" i="3"/>
  <c r="E18" i="4" s="1"/>
  <c r="H28" i="3"/>
  <c r="N52" i="4"/>
  <c r="L36" i="3"/>
  <c r="K26" i="4" s="1"/>
  <c r="O36" i="3"/>
  <c r="N26" i="4" s="1"/>
  <c r="P36" i="3"/>
  <c r="O26" i="4" s="1"/>
  <c r="D61" i="3"/>
  <c r="D66" s="1"/>
  <c r="E61"/>
  <c r="E66" s="1"/>
  <c r="F61"/>
  <c r="F66" s="1"/>
  <c r="G61"/>
  <c r="R61"/>
  <c r="D65"/>
  <c r="F65"/>
  <c r="D68"/>
  <c r="F68"/>
  <c r="E71"/>
  <c r="D83"/>
  <c r="E83"/>
  <c r="F83"/>
  <c r="G83"/>
  <c r="H83"/>
  <c r="I83"/>
  <c r="J83"/>
  <c r="K83"/>
  <c r="L83"/>
  <c r="M83"/>
  <c r="N83"/>
  <c r="O83"/>
  <c r="P83"/>
  <c r="Q83"/>
  <c r="R83"/>
  <c r="D84"/>
  <c r="E84"/>
  <c r="F84"/>
  <c r="G84"/>
  <c r="H84"/>
  <c r="Q17" i="5"/>
  <c r="P18"/>
  <c r="J19"/>
  <c r="M19"/>
  <c r="N19"/>
  <c r="R23"/>
  <c r="J24"/>
  <c r="L24" s="1"/>
  <c r="N24"/>
  <c r="N18"/>
  <c r="P28"/>
  <c r="J29"/>
  <c r="M29"/>
  <c r="N29"/>
  <c r="I29"/>
  <c r="S29"/>
  <c r="J32"/>
  <c r="M32"/>
  <c r="N32"/>
  <c r="N28" s="1"/>
  <c r="I32"/>
  <c r="S32"/>
  <c r="J35"/>
  <c r="M35"/>
  <c r="R35" s="1"/>
  <c r="N35"/>
  <c r="S35"/>
  <c r="I35"/>
  <c r="J39"/>
  <c r="N39"/>
  <c r="I39"/>
  <c r="J43"/>
  <c r="L43" s="1"/>
  <c r="N43"/>
  <c r="N42" s="1"/>
  <c r="P43"/>
  <c r="P42" s="1"/>
  <c r="Q43"/>
  <c r="I49"/>
  <c r="I50"/>
  <c r="J53"/>
  <c r="N53"/>
  <c r="N51" s="1"/>
  <c r="R51" s="1"/>
  <c r="I55"/>
  <c r="I53"/>
  <c r="I52" s="1"/>
  <c r="I57"/>
  <c r="I58"/>
  <c r="J58"/>
  <c r="M58"/>
  <c r="N58"/>
  <c r="P58"/>
  <c r="P52" s="1"/>
  <c r="Q58"/>
  <c r="J60"/>
  <c r="J52" s="1"/>
  <c r="M60"/>
  <c r="N60"/>
  <c r="P60"/>
  <c r="Q60"/>
  <c r="Q52" s="1"/>
  <c r="Q15" s="1"/>
  <c r="Q14" s="1"/>
  <c r="J63"/>
  <c r="M63"/>
  <c r="M62" s="1"/>
  <c r="M12"/>
  <c r="N63"/>
  <c r="N62" s="1"/>
  <c r="P63"/>
  <c r="P12" s="1"/>
  <c r="I64"/>
  <c r="I65"/>
  <c r="I66"/>
  <c r="I67"/>
  <c r="I68"/>
  <c r="I69"/>
  <c r="I70"/>
  <c r="I71"/>
  <c r="I72"/>
  <c r="I22" i="3"/>
  <c r="M18" i="5"/>
  <c r="L13" i="3"/>
  <c r="L23" s="1"/>
  <c r="L27" s="1"/>
  <c r="E7" i="2"/>
  <c r="Q13" i="3"/>
  <c r="Q23" s="1"/>
  <c r="Q27" s="1"/>
  <c r="P62" i="5"/>
  <c r="Q22" i="4" l="1"/>
  <c r="R13" i="3"/>
  <c r="R23" s="1"/>
  <c r="R27" s="1"/>
  <c r="J53" i="4"/>
  <c r="J43" s="1"/>
  <c r="Q53"/>
  <c r="Q43" s="1"/>
  <c r="D40" i="2"/>
  <c r="F41" s="1"/>
  <c r="J41" s="1"/>
  <c r="Q30" i="3" s="1"/>
  <c r="P29"/>
  <c r="O53" i="4"/>
  <c r="O43" s="1"/>
  <c r="D46" i="2"/>
  <c r="L53" i="4"/>
  <c r="L43" s="1"/>
  <c r="F21" i="2"/>
  <c r="J21" s="1"/>
  <c r="L30" i="3" s="1"/>
  <c r="I52" i="4"/>
  <c r="I53"/>
  <c r="I43" s="1"/>
  <c r="Q79" i="3"/>
  <c r="O79"/>
  <c r="M79"/>
  <c r="L79"/>
  <c r="D46" i="1"/>
  <c r="E7" i="12"/>
  <c r="C8"/>
  <c r="F16"/>
  <c r="D18"/>
  <c r="D19" s="1"/>
  <c r="D20" s="1"/>
  <c r="D21" s="1"/>
  <c r="M28" i="5"/>
  <c r="N17"/>
  <c r="R12"/>
  <c r="R45"/>
  <c r="R48"/>
  <c r="I51"/>
  <c r="R27"/>
  <c r="J18"/>
  <c r="I18"/>
  <c r="R21"/>
  <c r="L19"/>
  <c r="R19" s="1"/>
  <c r="R84" i="3"/>
  <c r="Q14" i="4"/>
  <c r="I46" i="5"/>
  <c r="I43" s="1"/>
  <c r="G71" i="3"/>
  <c r="O84"/>
  <c r="N14" i="4"/>
  <c r="F35" i="3"/>
  <c r="F60" s="1"/>
  <c r="O22" i="4"/>
  <c r="O20" s="1"/>
  <c r="Q52"/>
  <c r="J20"/>
  <c r="E24"/>
  <c r="F70" i="3" s="1"/>
  <c r="F72" s="1"/>
  <c r="F15" i="4"/>
  <c r="G67" i="3"/>
  <c r="Q42" i="4"/>
  <c r="M42"/>
  <c r="I42"/>
  <c r="N42"/>
  <c r="J42"/>
  <c r="O42"/>
  <c r="L42"/>
  <c r="P20"/>
  <c r="Q20"/>
  <c r="M20"/>
  <c r="H67" i="3"/>
  <c r="G20" i="4"/>
  <c r="D35" i="3"/>
  <c r="D60" s="1"/>
  <c r="L22" i="4"/>
  <c r="L20" s="1"/>
  <c r="E35" i="3"/>
  <c r="E60" s="1"/>
  <c r="E10" i="2"/>
  <c r="C11"/>
  <c r="C24" i="4"/>
  <c r="D70" i="3" s="1"/>
  <c r="D72" s="1"/>
  <c r="C20" i="4"/>
  <c r="H68" i="3"/>
  <c r="G18" i="4"/>
  <c r="D19"/>
  <c r="N13" i="3"/>
  <c r="N23" s="1"/>
  <c r="N27" s="1"/>
  <c r="Q19"/>
  <c r="H71"/>
  <c r="H23" s="1"/>
  <c r="H27" s="1"/>
  <c r="H35" s="1"/>
  <c r="D71"/>
  <c r="I67"/>
  <c r="D24" i="4"/>
  <c r="E70" i="3" s="1"/>
  <c r="E72" s="1"/>
  <c r="D20" i="4"/>
  <c r="G23" i="3"/>
  <c r="G27" s="1"/>
  <c r="G65"/>
  <c r="G66"/>
  <c r="I20" i="4"/>
  <c r="E20"/>
  <c r="E27" s="1"/>
  <c r="H69" i="3"/>
  <c r="N20" i="4"/>
  <c r="H20"/>
  <c r="G35" i="3"/>
  <c r="F24" i="4"/>
  <c r="G70" i="3" s="1"/>
  <c r="G72" s="1"/>
  <c r="F19" i="4"/>
  <c r="G15"/>
  <c r="G17" s="1"/>
  <c r="F16"/>
  <c r="F17" s="1"/>
  <c r="H15"/>
  <c r="G68" i="3"/>
  <c r="G69" s="1"/>
  <c r="F20" i="4"/>
  <c r="R24" i="5"/>
  <c r="K28"/>
  <c r="K17" s="1"/>
  <c r="K15" s="1"/>
  <c r="K14" s="1"/>
  <c r="K13" s="1"/>
  <c r="K11" s="1"/>
  <c r="L28"/>
  <c r="I28"/>
  <c r="S39"/>
  <c r="S28" s="1"/>
  <c r="J51"/>
  <c r="P17"/>
  <c r="H22" i="3"/>
  <c r="N15" i="5"/>
  <c r="N14" s="1"/>
  <c r="N13" s="1"/>
  <c r="N16"/>
  <c r="M51"/>
  <c r="I63"/>
  <c r="I12" s="1"/>
  <c r="N12"/>
  <c r="J22" i="3" s="1"/>
  <c r="J62" i="5"/>
  <c r="J28"/>
  <c r="J42"/>
  <c r="L42" s="1"/>
  <c r="O14" i="4"/>
  <c r="P84" i="3"/>
  <c r="O52" i="4"/>
  <c r="F13" i="1"/>
  <c r="P18" i="3"/>
  <c r="R18" s="1"/>
  <c r="Q18"/>
  <c r="F9" i="1"/>
  <c r="K20" i="4"/>
  <c r="H61" i="3"/>
  <c r="G19" i="4"/>
  <c r="D27"/>
  <c r="E5" i="1"/>
  <c r="G5" s="1"/>
  <c r="C6"/>
  <c r="E6" s="1"/>
  <c r="C27" i="4"/>
  <c r="E65" i="3"/>
  <c r="E56" i="4"/>
  <c r="E68" i="3"/>
  <c r="H65"/>
  <c r="F18" i="4"/>
  <c r="Q29" i="3" l="1"/>
  <c r="P53" i="4"/>
  <c r="P43" s="1"/>
  <c r="P42" s="1"/>
  <c r="L29" i="3"/>
  <c r="K53" i="4"/>
  <c r="K43" s="1"/>
  <c r="K42" s="1"/>
  <c r="D22" i="12"/>
  <c r="D23" s="1"/>
  <c r="D24" s="1"/>
  <c r="D25" s="1"/>
  <c r="C9"/>
  <c r="F20"/>
  <c r="M17" i="5"/>
  <c r="M16" s="1"/>
  <c r="I42"/>
  <c r="J17"/>
  <c r="L18"/>
  <c r="R18" s="1"/>
  <c r="I17"/>
  <c r="I15" s="1"/>
  <c r="I14" s="1"/>
  <c r="F27" i="4"/>
  <c r="E11" i="2"/>
  <c r="C12"/>
  <c r="K16" i="5"/>
  <c r="I62"/>
  <c r="P16"/>
  <c r="P15"/>
  <c r="P14" s="1"/>
  <c r="P13" s="1"/>
  <c r="M15"/>
  <c r="M14" s="1"/>
  <c r="M13" s="1"/>
  <c r="F17" i="1"/>
  <c r="N11" i="5"/>
  <c r="J37" i="3"/>
  <c r="J36" s="1"/>
  <c r="I26" i="4" s="1"/>
  <c r="I14"/>
  <c r="J84" i="3"/>
  <c r="C7" i="1"/>
  <c r="Q84" i="3" l="1"/>
  <c r="P14" i="4"/>
  <c r="P52"/>
  <c r="F24" i="12"/>
  <c r="D45"/>
  <c r="E9"/>
  <c r="C10"/>
  <c r="L17" i="5"/>
  <c r="I16"/>
  <c r="C13" i="2"/>
  <c r="E12"/>
  <c r="I13" i="5"/>
  <c r="I11" s="1"/>
  <c r="P11"/>
  <c r="K36" i="3"/>
  <c r="J26" i="4" s="1"/>
  <c r="I36" i="3"/>
  <c r="H26" i="4" s="1"/>
  <c r="M11" i="5"/>
  <c r="J15"/>
  <c r="J16"/>
  <c r="K84" i="3"/>
  <c r="J52" i="4"/>
  <c r="J14"/>
  <c r="H52"/>
  <c r="H14"/>
  <c r="E7" i="1"/>
  <c r="C8"/>
  <c r="F28" i="12" l="1"/>
  <c r="C11"/>
  <c r="E10"/>
  <c r="H26"/>
  <c r="H46" s="1"/>
  <c r="L15" i="5"/>
  <c r="L16"/>
  <c r="R16" s="1"/>
  <c r="C14" i="2"/>
  <c r="E13"/>
  <c r="G13" s="1"/>
  <c r="K13" s="1"/>
  <c r="J33" i="3" s="1"/>
  <c r="J14" i="5"/>
  <c r="F21" i="1"/>
  <c r="F25"/>
  <c r="I61" i="3"/>
  <c r="I66" s="1"/>
  <c r="H19" i="4"/>
  <c r="I10"/>
  <c r="C9" i="1"/>
  <c r="E8"/>
  <c r="E11" i="12" l="1"/>
  <c r="C12"/>
  <c r="L14" i="5"/>
  <c r="E14" i="2"/>
  <c r="C15"/>
  <c r="J13" i="5"/>
  <c r="I19" i="4"/>
  <c r="J10"/>
  <c r="J61" i="3"/>
  <c r="J66" s="1"/>
  <c r="F29" i="1"/>
  <c r="M84" i="3"/>
  <c r="L52" i="4"/>
  <c r="L14"/>
  <c r="E9" i="1"/>
  <c r="G9" s="1"/>
  <c r="C10"/>
  <c r="E12" i="12" l="1"/>
  <c r="C13"/>
  <c r="L13" i="5"/>
  <c r="R14"/>
  <c r="E15" i="2"/>
  <c r="C16"/>
  <c r="J11" i="5"/>
  <c r="K14" i="4"/>
  <c r="K52"/>
  <c r="L84" i="3"/>
  <c r="N84"/>
  <c r="M14" i="4"/>
  <c r="M52"/>
  <c r="F46" i="1"/>
  <c r="K10" i="4"/>
  <c r="K61" i="3"/>
  <c r="C11" i="1"/>
  <c r="E10"/>
  <c r="H25" i="4"/>
  <c r="H16"/>
  <c r="H17" s="1"/>
  <c r="I35" i="3"/>
  <c r="I60" s="1"/>
  <c r="E13" i="12" l="1"/>
  <c r="C14"/>
  <c r="L11" i="5"/>
  <c r="R11" s="1"/>
  <c r="R13"/>
  <c r="C17" i="2"/>
  <c r="E16"/>
  <c r="L10" i="4"/>
  <c r="L61" i="3"/>
  <c r="I68"/>
  <c r="I69" s="1"/>
  <c r="I65"/>
  <c r="H18" i="4"/>
  <c r="H24"/>
  <c r="I71" i="3"/>
  <c r="J67"/>
  <c r="H56" i="4"/>
  <c r="I15"/>
  <c r="E11" i="1"/>
  <c r="C12"/>
  <c r="E14" i="12" l="1"/>
  <c r="C15"/>
  <c r="C18" i="2"/>
  <c r="E17"/>
  <c r="G17" s="1"/>
  <c r="K17" s="1"/>
  <c r="K33" i="3" s="1"/>
  <c r="M61"/>
  <c r="M10" i="4"/>
  <c r="C13" i="1"/>
  <c r="E12"/>
  <c r="I70" i="3"/>
  <c r="I72" s="1"/>
  <c r="H27" i="4"/>
  <c r="G13" i="1" l="1"/>
  <c r="C16" i="12"/>
  <c r="E15"/>
  <c r="E18" i="2"/>
  <c r="C19"/>
  <c r="N61" i="3"/>
  <c r="N10" i="4"/>
  <c r="E13" i="1"/>
  <c r="C14"/>
  <c r="C17" i="12" l="1"/>
  <c r="C20" i="2"/>
  <c r="E19"/>
  <c r="O10" i="4"/>
  <c r="O61" i="3"/>
  <c r="J28"/>
  <c r="J35" s="1"/>
  <c r="I25" i="4"/>
  <c r="I16"/>
  <c r="I17" s="1"/>
  <c r="E14" i="1"/>
  <c r="C15"/>
  <c r="E17" i="12" l="1"/>
  <c r="C18"/>
  <c r="C21" i="2"/>
  <c r="E20"/>
  <c r="P61" i="3"/>
  <c r="P10" i="4"/>
  <c r="Q61" i="3" s="1"/>
  <c r="E15" i="1"/>
  <c r="C16"/>
  <c r="I18" i="4"/>
  <c r="J60" i="3"/>
  <c r="J68"/>
  <c r="J69" s="1"/>
  <c r="J65"/>
  <c r="I56" i="4"/>
  <c r="I24"/>
  <c r="J71" i="3"/>
  <c r="J15" i="4"/>
  <c r="K67" i="3"/>
  <c r="E18" i="12" l="1"/>
  <c r="C19"/>
  <c r="C22" i="2"/>
  <c r="E21"/>
  <c r="G21" s="1"/>
  <c r="K21" s="1"/>
  <c r="L33" i="3" s="1"/>
  <c r="J70"/>
  <c r="J72" s="1"/>
  <c r="I27" i="4"/>
  <c r="C17" i="1"/>
  <c r="E16"/>
  <c r="E19" i="12" l="1"/>
  <c r="C20"/>
  <c r="C23" i="2"/>
  <c r="E22"/>
  <c r="E17" i="1"/>
  <c r="G17" s="1"/>
  <c r="C18"/>
  <c r="J25" i="4" l="1"/>
  <c r="C21" i="12"/>
  <c r="E20"/>
  <c r="E23" i="2"/>
  <c r="C24"/>
  <c r="C19" i="1"/>
  <c r="E18"/>
  <c r="K28" i="3" l="1"/>
  <c r="K68" s="1"/>
  <c r="K69" s="1"/>
  <c r="J16" i="4"/>
  <c r="J17" s="1"/>
  <c r="C22" i="12"/>
  <c r="E21"/>
  <c r="E24" i="2"/>
  <c r="C25"/>
  <c r="E19" i="1"/>
  <c r="C20"/>
  <c r="J56" i="4"/>
  <c r="J24"/>
  <c r="K71" i="3"/>
  <c r="L67"/>
  <c r="K15" i="4"/>
  <c r="K35" i="3" l="1"/>
  <c r="K60" s="1"/>
  <c r="E22" i="12"/>
  <c r="C23"/>
  <c r="E25" i="2"/>
  <c r="G25" s="1"/>
  <c r="K25" s="1"/>
  <c r="M33" i="3" s="1"/>
  <c r="C26" i="2"/>
  <c r="K70" i="3"/>
  <c r="K72" s="1"/>
  <c r="J27" i="4"/>
  <c r="E20" i="1"/>
  <c r="C21"/>
  <c r="E23" i="12" l="1"/>
  <c r="C24"/>
  <c r="C27" i="2"/>
  <c r="E26"/>
  <c r="E21" i="1"/>
  <c r="G21" s="1"/>
  <c r="C22"/>
  <c r="L28" i="3" l="1"/>
  <c r="E24" i="12"/>
  <c r="C25"/>
  <c r="C28" i="2"/>
  <c r="E27"/>
  <c r="E22" i="1"/>
  <c r="C23"/>
  <c r="K16" i="4" l="1"/>
  <c r="K17" s="1"/>
  <c r="K25"/>
  <c r="L71" i="3" s="1"/>
  <c r="E25" i="12"/>
  <c r="C26"/>
  <c r="C29" i="2"/>
  <c r="E28"/>
  <c r="L68" i="3"/>
  <c r="L69" s="1"/>
  <c r="L35"/>
  <c r="L60" s="1"/>
  <c r="E23" i="1"/>
  <c r="C24"/>
  <c r="M67" i="3" l="1"/>
  <c r="K56" i="4"/>
  <c r="K24"/>
  <c r="L70" i="3" s="1"/>
  <c r="L72" s="1"/>
  <c r="L15" i="4"/>
  <c r="C27" i="12"/>
  <c r="E26"/>
  <c r="C30" i="2"/>
  <c r="E29"/>
  <c r="G29" s="1"/>
  <c r="K29" s="1"/>
  <c r="N33" i="3" s="1"/>
  <c r="C25" i="1"/>
  <c r="E24"/>
  <c r="K27" i="4" l="1"/>
  <c r="C28" i="12"/>
  <c r="E27"/>
  <c r="E30" i="2"/>
  <c r="C31"/>
  <c r="C26" i="1"/>
  <c r="E25"/>
  <c r="G25" s="1"/>
  <c r="L25" i="4" l="1"/>
  <c r="C29" i="12"/>
  <c r="E28"/>
  <c r="E31" i="2"/>
  <c r="C32"/>
  <c r="L16" i="4"/>
  <c r="L17" s="1"/>
  <c r="C27" i="1"/>
  <c r="E26"/>
  <c r="M28" i="3" l="1"/>
  <c r="M35" s="1"/>
  <c r="M60" s="1"/>
  <c r="E29" i="12"/>
  <c r="C30"/>
  <c r="C33" i="2"/>
  <c r="E32"/>
  <c r="L56" i="4"/>
  <c r="L24"/>
  <c r="M71" i="3"/>
  <c r="N67"/>
  <c r="M15" i="4"/>
  <c r="C28" i="1"/>
  <c r="E27"/>
  <c r="M68" i="3" l="1"/>
  <c r="M69" s="1"/>
  <c r="E30" i="12"/>
  <c r="C31"/>
  <c r="C34" i="2"/>
  <c r="E33"/>
  <c r="G33" s="1"/>
  <c r="K33" s="1"/>
  <c r="O33" i="3" s="1"/>
  <c r="M70"/>
  <c r="M72" s="1"/>
  <c r="L27" i="4"/>
  <c r="E28" i="1"/>
  <c r="C29"/>
  <c r="C32" i="12" l="1"/>
  <c r="E31"/>
  <c r="C35" i="2"/>
  <c r="E34"/>
  <c r="C30" i="1"/>
  <c r="E29"/>
  <c r="E32" i="12" l="1"/>
  <c r="C33"/>
  <c r="E35" i="2"/>
  <c r="C36"/>
  <c r="E30" i="1"/>
  <c r="C31"/>
  <c r="M16" i="4"/>
  <c r="M17" s="1"/>
  <c r="N28" i="3"/>
  <c r="M25" i="4"/>
  <c r="E33" i="12" l="1"/>
  <c r="C34"/>
  <c r="E36" i="2"/>
  <c r="C37"/>
  <c r="M56" i="4"/>
  <c r="M24"/>
  <c r="N71" i="3"/>
  <c r="N15" i="4"/>
  <c r="O67" i="3"/>
  <c r="N35"/>
  <c r="N60" s="1"/>
  <c r="N68"/>
  <c r="N69" s="1"/>
  <c r="E31" i="1"/>
  <c r="C32"/>
  <c r="E34" i="12" l="1"/>
  <c r="C35"/>
  <c r="C38" i="2"/>
  <c r="E37"/>
  <c r="G37" s="1"/>
  <c r="K37" s="1"/>
  <c r="P33" i="3" s="1"/>
  <c r="M27" i="4"/>
  <c r="N70" i="3"/>
  <c r="N72" s="1"/>
  <c r="C33" i="1"/>
  <c r="E32"/>
  <c r="C36" i="12" l="1"/>
  <c r="E35"/>
  <c r="C39" i="2"/>
  <c r="E38"/>
  <c r="C34" i="1"/>
  <c r="E33"/>
  <c r="E36" i="12" l="1"/>
  <c r="C37"/>
  <c r="E39" i="2"/>
  <c r="C40"/>
  <c r="N16" i="4"/>
  <c r="N17" s="1"/>
  <c r="O28" i="3"/>
  <c r="N25" i="4"/>
  <c r="E34" i="1"/>
  <c r="C35"/>
  <c r="E37" i="12" l="1"/>
  <c r="C38"/>
  <c r="C41" i="2"/>
  <c r="E40"/>
  <c r="O68" i="3"/>
  <c r="O69" s="1"/>
  <c r="O35"/>
  <c r="O60" s="1"/>
  <c r="E35" i="1"/>
  <c r="C36"/>
  <c r="N56" i="4"/>
  <c r="N24"/>
  <c r="O71" i="3"/>
  <c r="P67"/>
  <c r="O15" i="4"/>
  <c r="C39" i="12" l="1"/>
  <c r="E38"/>
  <c r="E41" i="2"/>
  <c r="G41" s="1"/>
  <c r="K41" s="1"/>
  <c r="Q33" i="3" s="1"/>
  <c r="C42" i="2"/>
  <c r="O70" i="3"/>
  <c r="O72" s="1"/>
  <c r="N27" i="4"/>
  <c r="E36" i="1"/>
  <c r="C37"/>
  <c r="E39" i="12" l="1"/>
  <c r="C40"/>
  <c r="C43" i="2"/>
  <c r="E42"/>
  <c r="E37" i="1"/>
  <c r="C38"/>
  <c r="E40" i="12" l="1"/>
  <c r="C41"/>
  <c r="E43" i="2"/>
  <c r="C44"/>
  <c r="O16" i="4"/>
  <c r="O17" s="1"/>
  <c r="P28" i="3"/>
  <c r="O25" i="4"/>
  <c r="E38" i="1"/>
  <c r="C39"/>
  <c r="C42" i="12" l="1"/>
  <c r="E41"/>
  <c r="E44" i="2"/>
  <c r="C45"/>
  <c r="E45" s="1"/>
  <c r="E39" i="1"/>
  <c r="C40"/>
  <c r="P68" i="3"/>
  <c r="P69" s="1"/>
  <c r="P35"/>
  <c r="P60" s="1"/>
  <c r="O56" i="4"/>
  <c r="O24"/>
  <c r="P71" i="3"/>
  <c r="P15" i="4"/>
  <c r="Q67" i="3"/>
  <c r="E42" i="12" l="1"/>
  <c r="C43"/>
  <c r="G45" i="2"/>
  <c r="K45" s="1"/>
  <c r="R33" i="3" s="1"/>
  <c r="P70"/>
  <c r="P72" s="1"/>
  <c r="O27" i="4"/>
  <c r="C41" i="1"/>
  <c r="E40"/>
  <c r="E43" i="12" l="1"/>
  <c r="C44"/>
  <c r="E44" s="1"/>
  <c r="E41" i="1"/>
  <c r="C42"/>
  <c r="Q25" i="4" l="1"/>
  <c r="Q16"/>
  <c r="R28" i="3"/>
  <c r="E42" i="1"/>
  <c r="C43"/>
  <c r="R71" i="3" l="1"/>
  <c r="Q56" i="4"/>
  <c r="Q24"/>
  <c r="E43" i="1"/>
  <c r="C44"/>
  <c r="R68" i="3"/>
  <c r="R60"/>
  <c r="C45" i="1" l="1"/>
  <c r="E45" s="1"/>
  <c r="E44"/>
  <c r="Q27" i="4"/>
  <c r="R70" i="3"/>
  <c r="R72" s="1"/>
  <c r="P25" i="4" l="1"/>
  <c r="P16" l="1"/>
  <c r="P17" s="1"/>
  <c r="Q28" i="3"/>
  <c r="Q60" s="1"/>
  <c r="Q71"/>
  <c r="P56" i="4"/>
  <c r="P24"/>
  <c r="R67" i="3"/>
  <c r="R69" s="1"/>
  <c r="Q15" i="4"/>
  <c r="Q17" s="1"/>
  <c r="Q68" i="3" l="1"/>
  <c r="Q69" s="1"/>
  <c r="Q70"/>
  <c r="Q72" s="1"/>
  <c r="P27" i="4"/>
  <c r="G24"/>
  <c r="G27" s="1"/>
  <c r="H60" i="3"/>
  <c r="H70" l="1"/>
  <c r="H72" s="1"/>
</calcChain>
</file>

<file path=xl/comments1.xml><?xml version="1.0" encoding="utf-8"?>
<comments xmlns="http://schemas.openxmlformats.org/spreadsheetml/2006/main">
  <authors>
    <author>UG</author>
  </authors>
  <commentList>
    <comment ref="A78" authorId="0">
      <text>
        <r>
          <rPr>
            <b/>
            <sz val="8"/>
            <color indexed="81"/>
            <rFont val="Tahoma"/>
            <family val="2"/>
            <charset val="238"/>
          </rPr>
          <t>UG: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78" authorId="0">
      <text>
        <r>
          <rPr>
            <b/>
            <sz val="8"/>
            <color indexed="81"/>
            <rFont val="Tahoma"/>
            <family val="2"/>
            <charset val="238"/>
          </rPr>
          <t>UG: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UG</author>
  </authors>
  <commentList>
    <comment ref="A33" authorId="0">
      <text>
        <r>
          <rPr>
            <b/>
            <sz val="8"/>
            <color indexed="81"/>
            <rFont val="Tahoma"/>
            <family val="2"/>
            <charset val="238"/>
          </rPr>
          <t>UG: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<sst xmlns="http://schemas.openxmlformats.org/spreadsheetml/2006/main" count="546" uniqueCount="260">
  <si>
    <t xml:space="preserve">Data </t>
  </si>
  <si>
    <t>kapitał</t>
  </si>
  <si>
    <t>raty</t>
  </si>
  <si>
    <t>odsetki</t>
  </si>
  <si>
    <t>raty roczne</t>
  </si>
  <si>
    <t>odsetki roczne</t>
  </si>
  <si>
    <t>10.09.2011</t>
  </si>
  <si>
    <t>10.12.2011</t>
  </si>
  <si>
    <t>10.03.2012</t>
  </si>
  <si>
    <t>10.06.2012</t>
  </si>
  <si>
    <t>10.09.2012</t>
  </si>
  <si>
    <t>10.12.2012</t>
  </si>
  <si>
    <t>10.03.2013</t>
  </si>
  <si>
    <t>10.06.2013</t>
  </si>
  <si>
    <t>10.09.2013</t>
  </si>
  <si>
    <t>10.12.2013</t>
  </si>
  <si>
    <t>10.03.2014</t>
  </si>
  <si>
    <t>10.06.2014</t>
  </si>
  <si>
    <t>10.09.2014</t>
  </si>
  <si>
    <t>10.12.2014</t>
  </si>
  <si>
    <t>10.03.2015</t>
  </si>
  <si>
    <t>10.06.2015</t>
  </si>
  <si>
    <t>10.09.2015</t>
  </si>
  <si>
    <t>10.12.2015</t>
  </si>
  <si>
    <t>10.03.2016</t>
  </si>
  <si>
    <t>10.06.2016</t>
  </si>
  <si>
    <t>10.09.2016</t>
  </si>
  <si>
    <t>10.12.2016</t>
  </si>
  <si>
    <t>10.03.2017</t>
  </si>
  <si>
    <t>10.06.2017</t>
  </si>
  <si>
    <t>10.09.2017</t>
  </si>
  <si>
    <t>10.12.2017</t>
  </si>
  <si>
    <t>10.03.2018</t>
  </si>
  <si>
    <t>10.06.2018</t>
  </si>
  <si>
    <t>10.09.2018</t>
  </si>
  <si>
    <t>10.12.2018</t>
  </si>
  <si>
    <t>10.03.2019</t>
  </si>
  <si>
    <t>10.06.2019</t>
  </si>
  <si>
    <t>10.09.2019</t>
  </si>
  <si>
    <t>10.12.2019</t>
  </si>
  <si>
    <t>10.03.2020</t>
  </si>
  <si>
    <t>10.06.2020</t>
  </si>
  <si>
    <t>10.09.2020</t>
  </si>
  <si>
    <t>10.12.2020</t>
  </si>
  <si>
    <t>10.03.2021</t>
  </si>
  <si>
    <t>10.06.2021</t>
  </si>
  <si>
    <t>10.09.2021</t>
  </si>
  <si>
    <t>10.12.2021</t>
  </si>
  <si>
    <t>Załącznik Nr 1</t>
  </si>
  <si>
    <t>Rady Gminy Lesznowola</t>
  </si>
  <si>
    <t>WIELOLETNIA  PROGNOZA  FINANSOWA  GMINY  LESZNOWOLA  NA LATA  2011 - 2021</t>
  </si>
  <si>
    <t>WIELOLETNIA  PROGNOZA  FINANSOWA  GMINY  LESZNOWOLA  NA LATA  2011 - 2019</t>
  </si>
  <si>
    <t>WIELOLETNIA  PROGNOZA  FINANSOWA  GMINY  LESZNOWOLA  NA LATA  2011 - 2020</t>
  </si>
  <si>
    <t>WIELOLETNIA  PROGNOZA  FINANSOWA  GMINY  LESZNOWOLA  NA LATA  2011 - 2022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</si>
  <si>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</si>
  <si>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</si>
  <si>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</si>
  <si>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</si>
  <si>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</si>
  <si>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</si>
  <si>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</si>
  <si>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</si>
  <si>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</si>
  <si>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Lp.</t>
  </si>
  <si>
    <t>Wyszczególnienie</t>
  </si>
  <si>
    <t>L A T A :</t>
  </si>
  <si>
    <t>WYKONANIE</t>
  </si>
  <si>
    <t>PROGNOZA</t>
  </si>
  <si>
    <t>Dochody ogółem, z tego:</t>
  </si>
  <si>
    <t>a)</t>
  </si>
  <si>
    <t>dochody bieżące</t>
  </si>
  <si>
    <t>b)</t>
  </si>
  <si>
    <t>dochody majątkowe, w tym:</t>
  </si>
  <si>
    <t>-</t>
  </si>
  <si>
    <t>w tym: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</si>
  <si>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</si>
  <si>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</si>
  <si>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</si>
  <si>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</si>
  <si>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</si>
  <si>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</si>
  <si>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</si>
  <si>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</si>
  <si>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</si>
  <si>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X</t>
  </si>
  <si>
    <t>Wynik budżetu po wykonaniu wydatków bieżących (bez obsługi długu) (1-2)</t>
  </si>
  <si>
    <t xml:space="preserve">Nadwyżka budżetowa z lat ubiegłych plus wolne środki zgodnie z art.217 ufp, 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</si>
  <si>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</si>
  <si>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</si>
  <si>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</si>
  <si>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</si>
  <si>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</si>
  <si>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 xml:space="preserve">pożyczki </t>
  </si>
  <si>
    <t>kredyty</t>
  </si>
  <si>
    <t>wykup obligacji</t>
  </si>
  <si>
    <t>wydatki bieżące na obsługę długu</t>
  </si>
  <si>
    <t>Inne rozchody ( bez spłaty  długu)</t>
  </si>
  <si>
    <t>Wydatki majątkowe, w tym:</t>
  </si>
  <si>
    <t>wydatki majątkowe objęte limitem art. 226 ust 4 ufp</t>
  </si>
  <si>
    <t>Przychody ( kredyty, pożyczki, emisje obligacji)</t>
  </si>
  <si>
    <t>emisja  obligacji</t>
  </si>
  <si>
    <t>Wolne środki jako nadwyżka środków pieniężnych na rachunku bieżącym budżetu gminy wynikających z rozliczeń kredytów i pożyczek z lat ubiegłych</t>
  </si>
  <si>
    <t>Nadwyżka z lat ubiegłych</t>
  </si>
  <si>
    <t>Wynik finansowy budżetu (9-10+11)</t>
  </si>
  <si>
    <t>Kwota długu w tym:</t>
  </si>
  <si>
    <t>łączna kwota wyłączeń z art. 243 ust.3 pkt 1 Ustawy o finansach publicznych z dnia 27 sierpnia 2009r. oraz z art. 170 ust. 3 Ustawy o finansach publicznych  z dnia 30 czerwca 2005r</t>
  </si>
  <si>
    <t>Kwota zobowiązań związku współtworzonego przez jst przypadająca do spłaty w danym roku budżetowym podlegająca doliczeniu zgodnie z art.. 244 Ustawy o finansach publicznych</t>
  </si>
  <si>
    <t xml:space="preserve">Limit obciążeń budzetu spłatą długu , kosztami jego obsługi oraz poręczenia i gwarancji - zgodnie z art.. 243 ust. 1 ustawy o finansach publicznych </t>
  </si>
  <si>
    <t>Obciążenia spłatami wg art.. 243 ustawy o finansach publicznych</t>
  </si>
  <si>
    <t>Realacja o której mowa w art.. 243 ustawy z dnia 27 sierpnia 2009r o finansach publicznych (17-18)</t>
  </si>
  <si>
    <t>Wydatki ogółem</t>
  </si>
  <si>
    <t xml:space="preserve">Wydatki bieżące </t>
  </si>
  <si>
    <t>Przychody budżetu</t>
  </si>
  <si>
    <t>Rozchody budżetu</t>
  </si>
  <si>
    <t>Załącznik Nr 2</t>
  </si>
  <si>
    <t>LP.</t>
  </si>
  <si>
    <t xml:space="preserve">PROGNOZA </t>
  </si>
  <si>
    <t>Kwota długu, w tym:</t>
  </si>
  <si>
    <t>Łączna kwota wyłączeń z art. 243 ust 3 pkt 1 ufp oraz z art. 170 ust 3 sufp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</si>
  <si>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</si>
  <si>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</si>
  <si>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</si>
  <si>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</si>
  <si>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</si>
  <si>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</si>
  <si>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</si>
  <si>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</si>
  <si>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6.</t>
  </si>
  <si>
    <t>Realacja o której mowa w art.. 243 ustawy z dnia 27 sierpnia 2009r o finansach publicznych (4-5)</t>
  </si>
  <si>
    <t>7.</t>
  </si>
  <si>
    <t>Planowana łączna kwota spłaty zobowiązań /dochody ogółem - max. 15% z art. 169 sufp</t>
  </si>
  <si>
    <t>8.</t>
  </si>
  <si>
    <t>Zadłużenie/dochody ogółem - max. 60% z art 170 sufp</t>
  </si>
  <si>
    <t>9.</t>
  </si>
  <si>
    <t>Dochody budżetowe</t>
  </si>
  <si>
    <t>dochody  bieżące</t>
  </si>
  <si>
    <t>10.</t>
  </si>
  <si>
    <t>Wydatki budzetowe</t>
  </si>
  <si>
    <t xml:space="preserve">wydatki bieżące </t>
  </si>
  <si>
    <t>wydatki majątkowe</t>
  </si>
  <si>
    <t>11.</t>
  </si>
  <si>
    <t>Prognozowany wynik budżetu                                                       ( dochody ogółem - wydatki ogółem)</t>
  </si>
  <si>
    <t>12.</t>
  </si>
  <si>
    <t>e)</t>
  </si>
  <si>
    <t>13.</t>
  </si>
  <si>
    <t>14.</t>
  </si>
  <si>
    <t>Wskaźnik pokrycia wydatków bieżących art. 242 UFP</t>
  </si>
  <si>
    <t>Załącznik Nr 3</t>
  </si>
  <si>
    <t>Nazwa i cel</t>
  </si>
  <si>
    <t xml:space="preserve">Jednostka odpowiedzialna </t>
  </si>
  <si>
    <t>okres realizacji       ( w wierszu program/umowa)</t>
  </si>
  <si>
    <t>Klasyfikacja budż</t>
  </si>
  <si>
    <t>Łączne nakłady finansowe</t>
  </si>
  <si>
    <t>limity wydatków w poszczególnych latach (wszystkie lata)</t>
  </si>
  <si>
    <t>Limit zobowiązań</t>
  </si>
  <si>
    <t>od</t>
  </si>
  <si>
    <t>do</t>
  </si>
  <si>
    <t xml:space="preserve">Dział </t>
  </si>
  <si>
    <t xml:space="preserve">Rozdz. </t>
  </si>
  <si>
    <t>§</t>
  </si>
  <si>
    <t xml:space="preserve">PRZEDSIĘWZIĘCIA  OGÓŁEM : </t>
  </si>
  <si>
    <t>- wydatki bieżące</t>
  </si>
  <si>
    <t>- wydatki majątkowe</t>
  </si>
  <si>
    <t>I.</t>
  </si>
  <si>
    <t>Programy projekty lub zadania ( razem)</t>
  </si>
  <si>
    <t>1.</t>
  </si>
  <si>
    <t>Programy, projekty lub zadania związane z programami realizowanymi z udziałem środków, o których mowa w art.. 5 ust. 1 pkt. 2 i 3 (razem)</t>
  </si>
  <si>
    <t>1.1</t>
  </si>
  <si>
    <t>Program Rozwoju Gospodarki Wodno- Ściekowej</t>
  </si>
  <si>
    <t>x</t>
  </si>
  <si>
    <t>Razem 010</t>
  </si>
  <si>
    <t>1.1.1</t>
  </si>
  <si>
    <t>Kompleksowy program gospodarki ściekowej gminy Lesznowola</t>
  </si>
  <si>
    <t>UG-PRI</t>
  </si>
  <si>
    <t>Razem</t>
  </si>
  <si>
    <t>010</t>
  </si>
  <si>
    <t>01010</t>
  </si>
  <si>
    <t>1.1.2</t>
  </si>
  <si>
    <t>Kompleksowy program gospodarki wodnej gminy Lesznowola</t>
  </si>
  <si>
    <t>1.2</t>
  </si>
  <si>
    <t>Program Budownictwo Komunalne</t>
  </si>
  <si>
    <t>Razem 921</t>
  </si>
  <si>
    <t>1.2.1</t>
  </si>
  <si>
    <t xml:space="preserve">Łazy - Aktualizacja projektu i budowa świetlicy </t>
  </si>
  <si>
    <t>UG - RDM</t>
  </si>
  <si>
    <t>1.2.2</t>
  </si>
  <si>
    <t xml:space="preserve">Magdalenka - Projekt i budowa świetlicy </t>
  </si>
  <si>
    <t>1.2.3</t>
  </si>
  <si>
    <t xml:space="preserve">Nowa Iwiczna - Projekt i budowa obiektu integracji społecznej wraz z zagospodarowaniem terenu </t>
  </si>
  <si>
    <t>1.2.4</t>
  </si>
  <si>
    <t xml:space="preserve">Podolszyn - Budowa świetlicy </t>
  </si>
  <si>
    <t>1.3</t>
  </si>
  <si>
    <t>Program Rozwoju Oświaty i Sportu</t>
  </si>
  <si>
    <t>1.3.1</t>
  </si>
  <si>
    <t>I etap</t>
  </si>
  <si>
    <t>II etap</t>
  </si>
  <si>
    <t>III etap</t>
  </si>
  <si>
    <t>Programy, projekty lub zadania pozostałe (razem)</t>
  </si>
  <si>
    <t>2.1</t>
  </si>
  <si>
    <t>Program Rozwoju Infrastruktury</t>
  </si>
  <si>
    <t>2.1.1</t>
  </si>
  <si>
    <t>Lesznowola - Projekt i budowa  ul. Okrężnej oraz projekty branżowe wraz z wytyczeniem geodezyjnym - I etap</t>
  </si>
  <si>
    <t>60016</t>
  </si>
  <si>
    <t>2.1.2</t>
  </si>
  <si>
    <t>Warszawianka  - Budowa ciągu pieszo-jezdnego od ul. Rejonowej (vis a vis ul. Brzozowej)</t>
  </si>
  <si>
    <t>2.1.3</t>
  </si>
  <si>
    <t>Mysiadło i Nowa Iwiczna - Budowa odwodnienia</t>
  </si>
  <si>
    <t>2.1.4</t>
  </si>
  <si>
    <t xml:space="preserve">Nowa Wola - Budowa ul. Plonowej I etap </t>
  </si>
  <si>
    <t>2.2</t>
  </si>
  <si>
    <t>2.2.1</t>
  </si>
  <si>
    <t xml:space="preserve">Wólka Kosowska - Projekt i budowa budynków socjalnych wraz z urządzeniem terenów rekreacyjno-sportowych </t>
  </si>
  <si>
    <t>2.3</t>
  </si>
  <si>
    <t>2.3.1</t>
  </si>
  <si>
    <t xml:space="preserve">Wólka Kosowska - Projekt i budowa przedszkola </t>
  </si>
  <si>
    <t>II</t>
  </si>
  <si>
    <t>Umowy, których realizacja w roku budżetowym i w latach następnych jest niezbędna dla zapewnienia ciągłości działania jednostki i których płatności przypadają w okresie dłuższym niż rok</t>
  </si>
  <si>
    <t xml:space="preserve">Najem lokalu użytkowego o pow. 23,3 m2  przy ul. Topolowej 2/199 w Mysiadle </t>
  </si>
  <si>
    <t xml:space="preserve">Wykonanie rocznych i pięcioletnich przeglądów technicznych obiektów budowlanych </t>
  </si>
  <si>
    <t xml:space="preserve">Wykonanie przeglądów serwisowych przepompowni wód deszczowych zamontowanych na terenie Gminy Lesznowola </t>
  </si>
  <si>
    <t>Prowadzenie obsługi prawnej Urzędu Gminy</t>
  </si>
  <si>
    <t>UG - ZP</t>
  </si>
  <si>
    <t xml:space="preserve">Konserwacja dźwigu osobowego </t>
  </si>
  <si>
    <t xml:space="preserve">Asysta techniczna przy eksploatacji Komputerowego Systemu Rejestracji Stanu Cywilnego </t>
  </si>
  <si>
    <t>Dzierżawa gruntu o pow. 0,3000 ha położonej w pasie drogi publicznej gminnej ul. Torowej w Nowej Iwicznej - parking dla pojazdów</t>
  </si>
  <si>
    <t>UG - RGG</t>
  </si>
  <si>
    <t xml:space="preserve">Dzierżawa gruntu o pow. 1.000 m2 pod plac zabaw w Marysinie </t>
  </si>
  <si>
    <t xml:space="preserve">Dzierżawa niezabudowanej nieruchomości (skład masy upadłości ""Tomasz Maj Gospodarstwo Ogrodnicze EKO Mysiadło"") położonej w obrębie KPGO Mysiadło </t>
  </si>
  <si>
    <t>Plan przed zmianami</t>
  </si>
  <si>
    <t>Zmiany Uchwałą Rady Gminy</t>
  </si>
  <si>
    <t>Plan po zmianach</t>
  </si>
  <si>
    <t xml:space="preserve">spłata pożyczki </t>
  </si>
  <si>
    <t>nadwyżka budżetowa z lat ubiegłych</t>
  </si>
  <si>
    <t>15.</t>
  </si>
  <si>
    <t xml:space="preserve">Finansowanie deficytu </t>
  </si>
  <si>
    <t>Przeznaczenie nadwyżki budżetowej</t>
  </si>
  <si>
    <t xml:space="preserve">spłata kredytow </t>
  </si>
  <si>
    <t>Emisja obligacji</t>
  </si>
  <si>
    <t>Środki do dyspozycji na wydatki majątkowe                       (6-7-8)</t>
  </si>
  <si>
    <t>emisja  obligacji na inwestycje</t>
  </si>
  <si>
    <t>emisja  obligacji spłatę wcześniej zaciągnietych zobowiązań</t>
  </si>
  <si>
    <t>WIELOLETNIA  PROGNOZA  FINANSOWA  GMINY  LESZNOWOLA  NA LATA  2011 - 2021- po zmianach</t>
  </si>
  <si>
    <t>PROGNOZA DŁUGU GMINY LESZNOWOLA NA LATA 2011 - 2021 - po zmianach</t>
  </si>
  <si>
    <t>Relacja z art.170 ustawy o finansach publicznych z dnia 30 czerwca 2005r.                    (max 60% ) 13/1</t>
  </si>
  <si>
    <t>Relacja z art.169 ustawy o finansach publicznych z dnia 30 czerwca 2005r.                    (max 15% )  7/1</t>
  </si>
  <si>
    <t>WYKAZ PRZEDSIĘWZIĘĆ GMINY LESZNOWOLA  NA LATA 2011 -2015 - po zmianach</t>
  </si>
  <si>
    <t>SYMULACJA
spłaty oraz  kosztówpożyczki planowanego na 2011 rok</t>
  </si>
  <si>
    <t>SYMULACJA
spłaty oraz  kosztów obligacji planowanych na 2011 rok</t>
  </si>
  <si>
    <t>stare pożyczki</t>
  </si>
  <si>
    <t>RAZEM</t>
  </si>
  <si>
    <t xml:space="preserve">kapit </t>
  </si>
  <si>
    <t>Odsetki</t>
  </si>
  <si>
    <t>Obigacje wyemitowane do 2010r</t>
  </si>
  <si>
    <t xml:space="preserve">Kapitał </t>
  </si>
  <si>
    <t>spłaty oraz  kosztów pożyczki  planowanego na 2012 rok</t>
  </si>
  <si>
    <t>Do Uchwały Nr 54/VI/2011</t>
  </si>
  <si>
    <t>z dnia 17 maja 2011r.</t>
  </si>
  <si>
    <t xml:space="preserve">Mysiadło - Projekt i budowa "Centrum Edukacji i Sportu" </t>
  </si>
  <si>
    <t>łączna kwota wyłączeń z art. 243 ust.3 pkt 1 Ustawy o finansach publicznych z dnia 27 sierpnia 2009r. oraz z art. 169 ust. 3 Ustawy o finansach publicznych  z dnia 30 czerwca 2005r. przypadająca na dany rok budżetowy</t>
  </si>
  <si>
    <t>Kwota wyłączeń z art. 243 us t3 pkt 1 ufp oraz z art.169 ust 3 sufp przypadająca na dany rok budżetowy</t>
  </si>
</sst>
</file>

<file path=xl/styles.xml><?xml version="1.0" encoding="utf-8"?>
<styleSheet xmlns="http://schemas.openxmlformats.org/spreadsheetml/2006/main">
  <numFmts count="3">
    <numFmt numFmtId="164" formatCode="d\ mmm\ yy"/>
    <numFmt numFmtId="165" formatCode="#,##0.0000"/>
    <numFmt numFmtId="166" formatCode="d/mm/yyyy"/>
  </numFmts>
  <fonts count="50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u/>
      <sz val="12"/>
      <name val="Cambria"/>
      <family val="1"/>
      <charset val="238"/>
      <scheme val="major"/>
    </font>
    <font>
      <b/>
      <u/>
      <sz val="14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7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b/>
      <sz val="2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i/>
      <sz val="12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i/>
      <sz val="12"/>
      <name val="Cambria"/>
      <family val="1"/>
      <charset val="238"/>
      <scheme val="major"/>
    </font>
    <font>
      <sz val="8"/>
      <name val="Arial"/>
      <family val="2"/>
      <charset val="238"/>
    </font>
    <font>
      <b/>
      <i/>
      <sz val="11"/>
      <name val="Cambria"/>
      <family val="1"/>
      <charset val="238"/>
      <scheme val="major"/>
    </font>
    <font>
      <sz val="11"/>
      <name val="Cambria"/>
      <family val="1"/>
      <charset val="238"/>
      <scheme val="major"/>
    </font>
  </fonts>
  <fills count="3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2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7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41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8168889431442"/>
        <bgColor indexed="27"/>
      </patternFill>
    </fill>
    <fill>
      <patternFill patternType="solid">
        <fgColor theme="6" tint="0.79998168889431442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medium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hair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hair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23" borderId="9" applyNumberFormat="0" applyAlignment="0" applyProtection="0"/>
    <xf numFmtId="0" fontId="17" fillId="3" borderId="0" applyNumberFormat="0" applyBorder="0" applyAlignment="0" applyProtection="0"/>
  </cellStyleXfs>
  <cellXfs count="610">
    <xf numFmtId="0" fontId="0" fillId="0" borderId="0" xfId="0"/>
    <xf numFmtId="1" fontId="0" fillId="0" borderId="0" xfId="0" applyNumberFormat="1"/>
    <xf numFmtId="0" fontId="18" fillId="0" borderId="0" xfId="0" applyFont="1"/>
    <xf numFmtId="164" fontId="19" fillId="0" borderId="10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center" vertical="top" wrapText="1"/>
    </xf>
    <xf numFmtId="164" fontId="21" fillId="0" borderId="13" xfId="0" applyNumberFormat="1" applyFont="1" applyBorder="1"/>
    <xf numFmtId="1" fontId="21" fillId="0" borderId="1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top" wrapText="1"/>
    </xf>
    <xf numFmtId="3" fontId="18" fillId="0" borderId="14" xfId="0" applyNumberFormat="1" applyFont="1" applyBorder="1"/>
    <xf numFmtId="3" fontId="0" fillId="0" borderId="0" xfId="0" applyNumberFormat="1"/>
    <xf numFmtId="1" fontId="21" fillId="0" borderId="22" xfId="0" applyNumberFormat="1" applyFont="1" applyBorder="1" applyAlignment="1">
      <alignment horizontal="center"/>
    </xf>
    <xf numFmtId="0" fontId="0" fillId="22" borderId="0" xfId="0" applyNumberFormat="1" applyFill="1"/>
    <xf numFmtId="0" fontId="0" fillId="22" borderId="0" xfId="0" applyFill="1"/>
    <xf numFmtId="3" fontId="0" fillId="22" borderId="0" xfId="0" applyNumberFormat="1" applyFill="1"/>
    <xf numFmtId="0" fontId="0" fillId="0" borderId="0" xfId="0" applyFill="1"/>
    <xf numFmtId="164" fontId="21" fillId="0" borderId="0" xfId="0" applyNumberFormat="1" applyFont="1"/>
    <xf numFmtId="1" fontId="21" fillId="0" borderId="0" xfId="0" applyNumberFormat="1" applyFont="1"/>
    <xf numFmtId="3" fontId="21" fillId="0" borderId="0" xfId="0" applyNumberFormat="1" applyFont="1"/>
    <xf numFmtId="3" fontId="21" fillId="0" borderId="11" xfId="0" applyNumberFormat="1" applyFont="1" applyBorder="1" applyAlignment="1">
      <alignment horizontal="center" vertical="top" wrapText="1"/>
    </xf>
    <xf numFmtId="3" fontId="21" fillId="0" borderId="15" xfId="0" applyNumberFormat="1" applyFont="1" applyBorder="1" applyAlignment="1">
      <alignment horizontal="center" vertical="top" wrapText="1"/>
    </xf>
    <xf numFmtId="3" fontId="21" fillId="0" borderId="14" xfId="0" applyNumberFormat="1" applyFont="1" applyBorder="1"/>
    <xf numFmtId="0" fontId="18" fillId="0" borderId="0" xfId="0" applyFont="1" applyFill="1"/>
    <xf numFmtId="164" fontId="21" fillId="0" borderId="23" xfId="0" applyNumberFormat="1" applyFont="1" applyBorder="1"/>
    <xf numFmtId="3" fontId="21" fillId="0" borderId="22" xfId="0" applyNumberFormat="1" applyFont="1" applyBorder="1" applyAlignment="1">
      <alignment horizontal="center" vertical="top" wrapText="1"/>
    </xf>
    <xf numFmtId="3" fontId="21" fillId="0" borderId="22" xfId="0" applyNumberFormat="1" applyFont="1" applyBorder="1"/>
    <xf numFmtId="3" fontId="0" fillId="0" borderId="0" xfId="0" applyNumberFormat="1" applyFill="1"/>
    <xf numFmtId="0" fontId="0" fillId="0" borderId="0" xfId="0" applyAlignment="1">
      <alignment wrapText="1"/>
    </xf>
    <xf numFmtId="0" fontId="23" fillId="0" borderId="0" xfId="0" applyFont="1"/>
    <xf numFmtId="3" fontId="23" fillId="0" borderId="0" xfId="0" applyNumberFormat="1" applyFont="1" applyAlignment="1">
      <alignment horizontal="center" vertical="center" wrapText="1"/>
    </xf>
    <xf numFmtId="0" fontId="0" fillId="0" borderId="37" xfId="0" applyBorder="1"/>
    <xf numFmtId="3" fontId="0" fillId="0" borderId="0" xfId="0" applyNumberFormat="1" applyAlignment="1">
      <alignment wrapText="1"/>
    </xf>
    <xf numFmtId="0" fontId="22" fillId="0" borderId="0" xfId="0" applyFont="1"/>
    <xf numFmtId="0" fontId="0" fillId="0" borderId="0" xfId="0" applyBorder="1"/>
    <xf numFmtId="0" fontId="24" fillId="0" borderId="0" xfId="0" applyFont="1"/>
    <xf numFmtId="0" fontId="24" fillId="0" borderId="0" xfId="0" applyFont="1" applyAlignment="1">
      <alignment vertical="center"/>
    </xf>
    <xf numFmtId="0" fontId="23" fillId="0" borderId="0" xfId="0" applyFont="1" applyFill="1"/>
    <xf numFmtId="0" fontId="24" fillId="0" borderId="0" xfId="0" applyFont="1" applyBorder="1"/>
    <xf numFmtId="0" fontId="0" fillId="24" borderId="0" xfId="0" applyFill="1" applyBorder="1"/>
    <xf numFmtId="0" fontId="0" fillId="24" borderId="0" xfId="0" applyFill="1"/>
    <xf numFmtId="0" fontId="0" fillId="6" borderId="0" xfId="0" applyFill="1"/>
    <xf numFmtId="0" fontId="25" fillId="0" borderId="0" xfId="0" applyFont="1"/>
    <xf numFmtId="3" fontId="23" fillId="0" borderId="0" xfId="0" applyNumberFormat="1" applyFont="1" applyFill="1"/>
    <xf numFmtId="0" fontId="24" fillId="0" borderId="0" xfId="0" applyFont="1" applyFill="1"/>
    <xf numFmtId="0" fontId="25" fillId="0" borderId="0" xfId="0" applyFont="1" applyFill="1"/>
    <xf numFmtId="0" fontId="2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3" fontId="30" fillId="0" borderId="14" xfId="0" applyNumberFormat="1" applyFont="1" applyBorder="1" applyAlignment="1">
      <alignment horizontal="center" vertical="center" wrapText="1"/>
    </xf>
    <xf numFmtId="3" fontId="30" fillId="0" borderId="14" xfId="0" applyNumberFormat="1" applyFont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center" vertical="center"/>
    </xf>
    <xf numFmtId="3" fontId="30" fillId="0" borderId="31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left" vertical="center" wrapText="1"/>
    </xf>
    <xf numFmtId="3" fontId="30" fillId="0" borderId="31" xfId="0" applyNumberFormat="1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3" fontId="29" fillId="0" borderId="14" xfId="0" applyNumberFormat="1" applyFont="1" applyBorder="1" applyAlignment="1">
      <alignment horizontal="center" vertical="center"/>
    </xf>
    <xf numFmtId="3" fontId="29" fillId="0" borderId="31" xfId="0" applyNumberFormat="1" applyFont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1" fillId="24" borderId="0" xfId="0" applyFont="1" applyFill="1" applyBorder="1" applyAlignment="1">
      <alignment vertical="center" wrapText="1"/>
    </xf>
    <xf numFmtId="0" fontId="32" fillId="24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4" fillId="24" borderId="0" xfId="0" applyFont="1" applyFill="1" applyBorder="1" applyAlignment="1">
      <alignment vertical="center" wrapText="1"/>
    </xf>
    <xf numFmtId="0" fontId="31" fillId="24" borderId="0" xfId="0" applyFont="1" applyFill="1" applyBorder="1" applyAlignment="1">
      <alignment vertical="top" wrapText="1"/>
    </xf>
    <xf numFmtId="0" fontId="34" fillId="24" borderId="0" xfId="0" applyFont="1" applyFill="1" applyBorder="1" applyAlignment="1">
      <alignment vertical="top"/>
    </xf>
    <xf numFmtId="0" fontId="35" fillId="24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6" fillId="24" borderId="0" xfId="0" applyFont="1" applyFill="1" applyBorder="1" applyAlignment="1">
      <alignment vertical="top" wrapText="1"/>
    </xf>
    <xf numFmtId="0" fontId="30" fillId="24" borderId="0" xfId="0" applyFont="1" applyFill="1" applyBorder="1" applyAlignment="1">
      <alignment vertical="top"/>
    </xf>
    <xf numFmtId="0" fontId="29" fillId="24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7" fillId="4" borderId="0" xfId="0" applyFont="1" applyFill="1" applyBorder="1" applyAlignment="1">
      <alignment horizontal="center" vertical="center" wrapText="1"/>
    </xf>
    <xf numFmtId="0" fontId="30" fillId="4" borderId="0" xfId="0" applyFont="1" applyFill="1" applyBorder="1"/>
    <xf numFmtId="0" fontId="37" fillId="4" borderId="25" xfId="0" applyFont="1" applyFill="1" applyBorder="1" applyAlignment="1">
      <alignment horizontal="center" vertical="center" wrapText="1"/>
    </xf>
    <xf numFmtId="0" fontId="30" fillId="4" borderId="25" xfId="0" applyFont="1" applyFill="1" applyBorder="1"/>
    <xf numFmtId="0" fontId="30" fillId="0" borderId="3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3" fontId="30" fillId="24" borderId="14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3" fontId="30" fillId="0" borderId="0" xfId="0" applyNumberFormat="1" applyFont="1" applyAlignment="1">
      <alignment wrapText="1"/>
    </xf>
    <xf numFmtId="3" fontId="30" fillId="0" borderId="0" xfId="0" applyNumberFormat="1" applyFont="1"/>
    <xf numFmtId="0" fontId="30" fillId="0" borderId="0" xfId="0" applyFont="1"/>
    <xf numFmtId="0" fontId="31" fillId="0" borderId="26" xfId="0" applyNumberFormat="1" applyFont="1" applyFill="1" applyBorder="1" applyAlignment="1">
      <alignment horizontal="center" vertical="center"/>
    </xf>
    <xf numFmtId="3" fontId="31" fillId="0" borderId="19" xfId="0" applyNumberFormat="1" applyFont="1" applyFill="1" applyBorder="1" applyAlignment="1">
      <alignment horizontal="center" vertical="center"/>
    </xf>
    <xf numFmtId="3" fontId="31" fillId="0" borderId="27" xfId="0" applyNumberFormat="1" applyFont="1" applyFill="1" applyBorder="1" applyAlignment="1">
      <alignment horizontal="center" vertical="center"/>
    </xf>
    <xf numFmtId="3" fontId="31" fillId="0" borderId="28" xfId="0" applyNumberFormat="1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3" fontId="34" fillId="0" borderId="14" xfId="0" applyNumberFormat="1" applyFont="1" applyBorder="1" applyAlignment="1">
      <alignment horizontal="center" vertical="center" wrapText="1"/>
    </xf>
    <xf numFmtId="3" fontId="34" fillId="0" borderId="14" xfId="0" applyNumberFormat="1" applyFont="1" applyBorder="1" applyAlignment="1">
      <alignment horizontal="center" vertical="center"/>
    </xf>
    <xf numFmtId="3" fontId="34" fillId="0" borderId="14" xfId="0" applyNumberFormat="1" applyFont="1" applyFill="1" applyBorder="1" applyAlignment="1">
      <alignment horizontal="center" vertical="center"/>
    </xf>
    <xf numFmtId="3" fontId="34" fillId="0" borderId="30" xfId="0" applyNumberFormat="1" applyFont="1" applyBorder="1" applyAlignment="1">
      <alignment horizontal="center" vertical="center"/>
    </xf>
    <xf numFmtId="3" fontId="34" fillId="0" borderId="31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 wrapText="1"/>
    </xf>
    <xf numFmtId="3" fontId="34" fillId="0" borderId="30" xfId="0" applyNumberFormat="1" applyFont="1" applyFill="1" applyBorder="1" applyAlignment="1">
      <alignment horizontal="center" vertical="center"/>
    </xf>
    <xf numFmtId="3" fontId="34" fillId="0" borderId="31" xfId="0" applyNumberFormat="1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horizontal="center" vertical="center"/>
    </xf>
    <xf numFmtId="3" fontId="31" fillId="0" borderId="30" xfId="0" applyNumberFormat="1" applyFont="1" applyFill="1" applyBorder="1" applyAlignment="1">
      <alignment horizontal="center" vertical="center"/>
    </xf>
    <xf numFmtId="3" fontId="31" fillId="0" borderId="31" xfId="0" applyNumberFormat="1" applyFont="1" applyFill="1" applyBorder="1" applyAlignment="1">
      <alignment horizontal="center" vertical="center"/>
    </xf>
    <xf numFmtId="3" fontId="34" fillId="0" borderId="30" xfId="0" applyNumberFormat="1" applyFont="1" applyBorder="1" applyAlignment="1">
      <alignment horizontal="center" vertical="center" wrapText="1"/>
    </xf>
    <xf numFmtId="3" fontId="34" fillId="0" borderId="31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/>
    </xf>
    <xf numFmtId="3" fontId="31" fillId="0" borderId="14" xfId="0" applyNumberFormat="1" applyFont="1" applyBorder="1" applyAlignment="1">
      <alignment horizontal="center" vertical="center"/>
    </xf>
    <xf numFmtId="3" fontId="31" fillId="0" borderId="30" xfId="0" applyNumberFormat="1" applyFont="1" applyBorder="1" applyAlignment="1">
      <alignment horizontal="center" vertical="center"/>
    </xf>
    <xf numFmtId="3" fontId="31" fillId="0" borderId="31" xfId="0" applyNumberFormat="1" applyFont="1" applyBorder="1" applyAlignment="1">
      <alignment horizontal="center" vertical="center"/>
    </xf>
    <xf numFmtId="3" fontId="31" fillId="0" borderId="14" xfId="0" applyNumberFormat="1" applyFont="1" applyBorder="1" applyAlignment="1">
      <alignment horizontal="center" vertical="center" wrapText="1"/>
    </xf>
    <xf numFmtId="3" fontId="31" fillId="0" borderId="14" xfId="0" applyNumberFormat="1" applyFont="1" applyFill="1" applyBorder="1" applyAlignment="1">
      <alignment horizontal="center" vertical="center" wrapText="1"/>
    </xf>
    <xf numFmtId="3" fontId="31" fillId="0" borderId="30" xfId="0" applyNumberFormat="1" applyFont="1" applyFill="1" applyBorder="1" applyAlignment="1">
      <alignment horizontal="center" vertical="center" wrapText="1"/>
    </xf>
    <xf numFmtId="3" fontId="31" fillId="0" borderId="31" xfId="0" applyNumberFormat="1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textRotation="90"/>
    </xf>
    <xf numFmtId="0" fontId="34" fillId="0" borderId="13" xfId="0" applyFont="1" applyBorder="1" applyAlignment="1">
      <alignment horizontal="left" vertical="center" wrapText="1"/>
    </xf>
    <xf numFmtId="3" fontId="34" fillId="0" borderId="14" xfId="0" applyNumberFormat="1" applyFont="1" applyFill="1" applyBorder="1" applyAlignment="1">
      <alignment horizontal="center" vertical="center" wrapText="1"/>
    </xf>
    <xf numFmtId="3" fontId="34" fillId="0" borderId="30" xfId="0" applyNumberFormat="1" applyFont="1" applyFill="1" applyBorder="1" applyAlignment="1">
      <alignment horizontal="center" vertical="center" wrapText="1"/>
    </xf>
    <xf numFmtId="3" fontId="34" fillId="0" borderId="31" xfId="0" applyNumberFormat="1" applyFont="1" applyFill="1" applyBorder="1" applyAlignment="1">
      <alignment horizontal="center" vertical="center" wrapText="1"/>
    </xf>
    <xf numFmtId="3" fontId="31" fillId="0" borderId="30" xfId="0" applyNumberFormat="1" applyFont="1" applyBorder="1" applyAlignment="1">
      <alignment horizontal="center" vertical="center" wrapText="1"/>
    </xf>
    <xf numFmtId="3" fontId="31" fillId="0" borderId="31" xfId="0" applyNumberFormat="1" applyFont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22" fillId="0" borderId="33" xfId="0" applyFont="1" applyBorder="1" applyAlignment="1">
      <alignment horizontal="center" vertical="center"/>
    </xf>
    <xf numFmtId="0" fontId="22" fillId="0" borderId="33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 wrapText="1"/>
    </xf>
    <xf numFmtId="3" fontId="22" fillId="0" borderId="33" xfId="0" applyNumberFormat="1" applyFont="1" applyBorder="1" applyAlignment="1">
      <alignment horizontal="center" vertical="center" wrapText="1"/>
    </xf>
    <xf numFmtId="3" fontId="22" fillId="0" borderId="33" xfId="0" applyNumberFormat="1" applyFont="1" applyBorder="1" applyAlignment="1">
      <alignment horizontal="center" vertical="center"/>
    </xf>
    <xf numFmtId="3" fontId="22" fillId="0" borderId="33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3" fontId="31" fillId="0" borderId="22" xfId="0" applyNumberFormat="1" applyFont="1" applyBorder="1" applyAlignment="1">
      <alignment horizontal="center" vertical="center"/>
    </xf>
    <xf numFmtId="3" fontId="31" fillId="0" borderId="22" xfId="0" applyNumberFormat="1" applyFont="1" applyFill="1" applyBorder="1" applyAlignment="1">
      <alignment horizontal="center" vertical="center"/>
    </xf>
    <xf numFmtId="3" fontId="31" fillId="0" borderId="35" xfId="0" applyNumberFormat="1" applyFont="1" applyBorder="1" applyAlignment="1">
      <alignment horizontal="center" vertical="center"/>
    </xf>
    <xf numFmtId="3" fontId="31" fillId="0" borderId="36" xfId="0" applyNumberFormat="1" applyFont="1" applyBorder="1" applyAlignment="1">
      <alignment horizontal="center" vertical="center"/>
    </xf>
    <xf numFmtId="0" fontId="34" fillId="0" borderId="3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1" fillId="22" borderId="29" xfId="0" applyFont="1" applyFill="1" applyBorder="1" applyAlignment="1">
      <alignment horizontal="center" vertical="center"/>
    </xf>
    <xf numFmtId="3" fontId="31" fillId="22" borderId="14" xfId="0" applyNumberFormat="1" applyFont="1" applyFill="1" applyBorder="1" applyAlignment="1">
      <alignment horizontal="center" vertical="center"/>
    </xf>
    <xf numFmtId="3" fontId="31" fillId="22" borderId="14" xfId="0" applyNumberFormat="1" applyFont="1" applyFill="1" applyBorder="1" applyAlignment="1">
      <alignment horizontal="center" vertical="center" wrapText="1"/>
    </xf>
    <xf numFmtId="3" fontId="31" fillId="22" borderId="30" xfId="0" applyNumberFormat="1" applyFont="1" applyFill="1" applyBorder="1" applyAlignment="1">
      <alignment horizontal="center" vertical="center"/>
    </xf>
    <xf numFmtId="3" fontId="31" fillId="22" borderId="31" xfId="0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4" fontId="31" fillId="0" borderId="14" xfId="0" applyNumberFormat="1" applyFont="1" applyBorder="1" applyAlignment="1">
      <alignment horizontal="center" vertical="center" wrapText="1"/>
    </xf>
    <xf numFmtId="4" fontId="31" fillId="0" borderId="31" xfId="0" applyNumberFormat="1" applyFont="1" applyBorder="1" applyAlignment="1">
      <alignment horizontal="center" vertical="center" wrapText="1"/>
    </xf>
    <xf numFmtId="4" fontId="31" fillId="0" borderId="22" xfId="0" applyNumberFormat="1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165" fontId="31" fillId="24" borderId="22" xfId="0" applyNumberFormat="1" applyFont="1" applyFill="1" applyBorder="1" applyAlignment="1">
      <alignment horizontal="center" vertical="center" wrapText="1"/>
    </xf>
    <xf numFmtId="165" fontId="31" fillId="0" borderId="14" xfId="0" applyNumberFormat="1" applyFont="1" applyBorder="1" applyAlignment="1">
      <alignment horizontal="center" vertical="center" wrapText="1"/>
    </xf>
    <xf numFmtId="3" fontId="31" fillId="0" borderId="22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3" fontId="34" fillId="24" borderId="14" xfId="0" applyNumberFormat="1" applyFont="1" applyFill="1" applyBorder="1" applyAlignment="1">
      <alignment horizontal="center" vertical="center" wrapText="1"/>
    </xf>
    <xf numFmtId="3" fontId="34" fillId="0" borderId="22" xfId="0" applyNumberFormat="1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3" fontId="31" fillId="0" borderId="17" xfId="0" applyNumberFormat="1" applyFont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/>
    </xf>
    <xf numFmtId="0" fontId="34" fillId="0" borderId="37" xfId="0" applyFont="1" applyBorder="1"/>
    <xf numFmtId="0" fontId="34" fillId="0" borderId="0" xfId="0" applyFont="1" applyAlignment="1">
      <alignment wrapText="1"/>
    </xf>
    <xf numFmtId="3" fontId="34" fillId="0" borderId="0" xfId="0" applyNumberFormat="1" applyFont="1" applyAlignment="1">
      <alignment wrapText="1"/>
    </xf>
    <xf numFmtId="3" fontId="34" fillId="0" borderId="0" xfId="0" applyNumberFormat="1" applyFont="1"/>
    <xf numFmtId="0" fontId="34" fillId="0" borderId="0" xfId="0" applyFont="1"/>
    <xf numFmtId="0" fontId="34" fillId="0" borderId="41" xfId="0" applyFont="1" applyBorder="1" applyAlignment="1">
      <alignment horizontal="left" vertical="center" wrapText="1"/>
    </xf>
    <xf numFmtId="0" fontId="31" fillId="0" borderId="76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40" fillId="24" borderId="0" xfId="0" applyFont="1" applyFill="1" applyBorder="1" applyAlignment="1">
      <alignment horizontal="right" vertical="top" wrapText="1"/>
    </xf>
    <xf numFmtId="0" fontId="30" fillId="24" borderId="0" xfId="0" applyFont="1" applyFill="1" applyBorder="1" applyAlignment="1">
      <alignment horizontal="right" vertical="top" wrapText="1"/>
    </xf>
    <xf numFmtId="0" fontId="31" fillId="22" borderId="17" xfId="0" applyNumberFormat="1" applyFont="1" applyFill="1" applyBorder="1" applyAlignment="1">
      <alignment horizontal="center" vertical="center"/>
    </xf>
    <xf numFmtId="3" fontId="31" fillId="22" borderId="17" xfId="0" applyNumberFormat="1" applyFont="1" applyFill="1" applyBorder="1" applyAlignment="1">
      <alignment horizontal="center" vertical="center" wrapText="1"/>
    </xf>
    <xf numFmtId="0" fontId="31" fillId="22" borderId="38" xfId="0" applyNumberFormat="1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9" xfId="0" applyFont="1" applyBorder="1" applyAlignment="1">
      <alignment horizontal="left" vertical="center" wrapText="1"/>
    </xf>
    <xf numFmtId="3" fontId="29" fillId="0" borderId="19" xfId="0" applyNumberFormat="1" applyFont="1" applyBorder="1" applyAlignment="1">
      <alignment horizontal="center" vertical="center"/>
    </xf>
    <xf numFmtId="3" fontId="29" fillId="0" borderId="28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22" borderId="13" xfId="0" applyFont="1" applyFill="1" applyBorder="1" applyAlignment="1">
      <alignment horizontal="center" vertical="center"/>
    </xf>
    <xf numFmtId="0" fontId="30" fillId="22" borderId="14" xfId="0" applyFont="1" applyFill="1" applyBorder="1" applyAlignment="1">
      <alignment horizontal="left" vertical="center" wrapText="1"/>
    </xf>
    <xf numFmtId="3" fontId="30" fillId="22" borderId="14" xfId="0" applyNumberFormat="1" applyFont="1" applyFill="1" applyBorder="1" applyAlignment="1">
      <alignment horizontal="center" vertical="center"/>
    </xf>
    <xf numFmtId="165" fontId="30" fillId="22" borderId="14" xfId="0" applyNumberFormat="1" applyFont="1" applyFill="1" applyBorder="1" applyAlignment="1">
      <alignment horizontal="center" vertical="center"/>
    </xf>
    <xf numFmtId="165" fontId="30" fillId="22" borderId="31" xfId="0" applyNumberFormat="1" applyFont="1" applyFill="1" applyBorder="1" applyAlignment="1">
      <alignment horizontal="center" vertical="center"/>
    </xf>
    <xf numFmtId="0" fontId="30" fillId="22" borderId="30" xfId="0" applyFont="1" applyFill="1" applyBorder="1" applyAlignment="1">
      <alignment horizontal="left" vertical="center" wrapText="1"/>
    </xf>
    <xf numFmtId="0" fontId="29" fillId="22" borderId="14" xfId="0" applyFont="1" applyFill="1" applyBorder="1" applyAlignment="1">
      <alignment horizontal="left" vertical="center" wrapText="1"/>
    </xf>
    <xf numFmtId="4" fontId="30" fillId="0" borderId="14" xfId="0" applyNumberFormat="1" applyFont="1" applyBorder="1" applyAlignment="1">
      <alignment horizontal="center" vertical="center"/>
    </xf>
    <xf numFmtId="4" fontId="30" fillId="0" borderId="31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left" vertical="center" wrapText="1"/>
    </xf>
    <xf numFmtId="3" fontId="41" fillId="0" borderId="14" xfId="0" applyNumberFormat="1" applyFont="1" applyBorder="1" applyAlignment="1">
      <alignment horizontal="center" vertical="center"/>
    </xf>
    <xf numFmtId="3" fontId="39" fillId="0" borderId="14" xfId="0" applyNumberFormat="1" applyFont="1" applyBorder="1" applyAlignment="1">
      <alignment horizontal="center" vertical="center"/>
    </xf>
    <xf numFmtId="0" fontId="30" fillId="22" borderId="16" xfId="0" applyFont="1" applyFill="1" applyBorder="1" applyAlignment="1">
      <alignment horizontal="center" vertical="center"/>
    </xf>
    <xf numFmtId="0" fontId="30" fillId="22" borderId="17" xfId="0" applyFont="1" applyFill="1" applyBorder="1" applyAlignment="1">
      <alignment horizontal="left" vertical="center" wrapText="1"/>
    </xf>
    <xf numFmtId="4" fontId="30" fillId="22" borderId="17" xfId="0" applyNumberFormat="1" applyFont="1" applyFill="1" applyBorder="1" applyAlignment="1">
      <alignment horizontal="center" vertical="center"/>
    </xf>
    <xf numFmtId="4" fontId="30" fillId="22" borderId="38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0" fillId="4" borderId="0" xfId="0" applyFont="1" applyFill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6" fillId="4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29" fillId="22" borderId="14" xfId="0" applyFont="1" applyFill="1" applyBorder="1" applyAlignment="1">
      <alignment horizontal="center" vertical="center" wrapText="1"/>
    </xf>
    <xf numFmtId="0" fontId="42" fillId="29" borderId="14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/>
    </xf>
    <xf numFmtId="0" fontId="31" fillId="4" borderId="40" xfId="0" applyFont="1" applyFill="1" applyBorder="1" applyAlignment="1">
      <alignment horizontal="left" vertical="center" wrapText="1"/>
    </xf>
    <xf numFmtId="0" fontId="34" fillId="4" borderId="20" xfId="0" applyFont="1" applyFill="1" applyBorder="1" applyAlignment="1">
      <alignment horizontal="center" vertical="center" wrapText="1"/>
    </xf>
    <xf numFmtId="3" fontId="31" fillId="4" borderId="20" xfId="0" applyNumberFormat="1" applyFont="1" applyFill="1" applyBorder="1" applyAlignment="1">
      <alignment horizontal="center" vertical="center" wrapText="1"/>
    </xf>
    <xf numFmtId="3" fontId="31" fillId="31" borderId="20" xfId="0" applyNumberFormat="1" applyFont="1" applyFill="1" applyBorder="1" applyAlignment="1">
      <alignment horizontal="center" vertical="center" wrapText="1"/>
    </xf>
    <xf numFmtId="3" fontId="29" fillId="4" borderId="20" xfId="0" applyNumberFormat="1" applyFont="1" applyFill="1" applyBorder="1" applyAlignment="1">
      <alignment horizontal="center" vertical="center" wrapText="1"/>
    </xf>
    <xf numFmtId="0" fontId="31" fillId="4" borderId="20" xfId="0" applyFont="1" applyFill="1" applyBorder="1" applyAlignment="1">
      <alignment horizontal="center" vertical="center" wrapText="1"/>
    </xf>
    <xf numFmtId="3" fontId="31" fillId="4" borderId="58" xfId="0" applyNumberFormat="1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0" borderId="41" xfId="0" applyFont="1" applyBorder="1" applyAlignment="1">
      <alignment horizontal="left" vertical="center" wrapText="1"/>
    </xf>
    <xf numFmtId="3" fontId="43" fillId="0" borderId="14" xfId="0" applyNumberFormat="1" applyFont="1" applyBorder="1" applyAlignment="1">
      <alignment horizontal="center" vertical="center" wrapText="1"/>
    </xf>
    <xf numFmtId="3" fontId="43" fillId="30" borderId="14" xfId="0" applyNumberFormat="1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3" fontId="43" fillId="0" borderId="31" xfId="0" applyNumberFormat="1" applyFont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0" fontId="31" fillId="4" borderId="41" xfId="0" applyFont="1" applyFill="1" applyBorder="1" applyAlignment="1">
      <alignment horizontal="left" vertical="center" wrapText="1"/>
    </xf>
    <xf numFmtId="0" fontId="34" fillId="4" borderId="14" xfId="0" applyFont="1" applyFill="1" applyBorder="1" applyAlignment="1">
      <alignment horizontal="center" vertical="center" wrapText="1"/>
    </xf>
    <xf numFmtId="3" fontId="31" fillId="4" borderId="14" xfId="0" applyNumberFormat="1" applyFont="1" applyFill="1" applyBorder="1" applyAlignment="1">
      <alignment horizontal="center" vertical="center" wrapText="1"/>
    </xf>
    <xf numFmtId="3" fontId="31" fillId="31" borderId="14" xfId="0" applyNumberFormat="1" applyFont="1" applyFill="1" applyBorder="1" applyAlignment="1">
      <alignment horizontal="center" vertical="center" wrapText="1"/>
    </xf>
    <xf numFmtId="3" fontId="29" fillId="4" borderId="14" xfId="0" applyNumberFormat="1" applyFont="1" applyFill="1" applyBorder="1" applyAlignment="1">
      <alignment horizontal="center" vertical="center" wrapText="1"/>
    </xf>
    <xf numFmtId="3" fontId="31" fillId="4" borderId="31" xfId="0" applyNumberFormat="1" applyFont="1" applyFill="1" applyBorder="1" applyAlignment="1">
      <alignment horizontal="center" vertical="center"/>
    </xf>
    <xf numFmtId="3" fontId="43" fillId="0" borderId="31" xfId="0" applyNumberFormat="1" applyFont="1" applyBorder="1" applyAlignment="1">
      <alignment horizontal="center" vertical="center" wrapText="1"/>
    </xf>
    <xf numFmtId="166" fontId="45" fillId="0" borderId="13" xfId="0" applyNumberFormat="1" applyFont="1" applyBorder="1" applyAlignment="1">
      <alignment horizontal="center" vertical="center"/>
    </xf>
    <xf numFmtId="0" fontId="46" fillId="0" borderId="4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3" fontId="46" fillId="0" borderId="14" xfId="0" applyNumberFormat="1" applyFont="1" applyBorder="1" applyAlignment="1">
      <alignment horizontal="center" vertical="center" wrapText="1"/>
    </xf>
    <xf numFmtId="3" fontId="46" fillId="30" borderId="14" xfId="0" applyNumberFormat="1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3" fontId="46" fillId="0" borderId="31" xfId="0" applyNumberFormat="1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3" fontId="43" fillId="0" borderId="14" xfId="0" applyNumberFormat="1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3" fontId="30" fillId="0" borderId="42" xfId="0" applyNumberFormat="1" applyFont="1" applyFill="1" applyBorder="1" applyAlignment="1">
      <alignment horizontal="center" vertical="center" wrapText="1"/>
    </xf>
    <xf numFmtId="3" fontId="30" fillId="30" borderId="42" xfId="0" applyNumberFormat="1" applyFont="1" applyFill="1" applyBorder="1" applyAlignment="1">
      <alignment horizontal="center" vertical="center" wrapText="1"/>
    </xf>
    <xf numFmtId="3" fontId="43" fillId="0" borderId="42" xfId="0" applyNumberFormat="1" applyFont="1" applyFill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center" vertical="center" wrapText="1"/>
    </xf>
    <xf numFmtId="3" fontId="43" fillId="0" borderId="59" xfId="0" applyNumberFormat="1" applyFont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0" fontId="30" fillId="0" borderId="43" xfId="0" applyFont="1" applyFill="1" applyBorder="1" applyAlignment="1">
      <alignment horizontal="center" vertical="center" wrapText="1"/>
    </xf>
    <xf numFmtId="3" fontId="30" fillId="0" borderId="43" xfId="0" applyNumberFormat="1" applyFont="1" applyFill="1" applyBorder="1" applyAlignment="1">
      <alignment horizontal="center" vertical="center" wrapText="1"/>
    </xf>
    <xf numFmtId="3" fontId="30" fillId="30" borderId="43" xfId="0" applyNumberFormat="1" applyFont="1" applyFill="1" applyBorder="1" applyAlignment="1">
      <alignment horizontal="center" vertical="center" wrapText="1"/>
    </xf>
    <xf numFmtId="3" fontId="43" fillId="0" borderId="43" xfId="0" applyNumberFormat="1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  <xf numFmtId="3" fontId="43" fillId="0" borderId="60" xfId="0" applyNumberFormat="1" applyFont="1" applyBorder="1" applyAlignment="1">
      <alignment horizontal="center" vertical="center"/>
    </xf>
    <xf numFmtId="0" fontId="30" fillId="0" borderId="41" xfId="0" applyFont="1" applyFill="1" applyBorder="1" applyAlignment="1">
      <alignment horizontal="left" vertical="center" wrapText="1"/>
    </xf>
    <xf numFmtId="0" fontId="30" fillId="0" borderId="44" xfId="0" applyFont="1" applyFill="1" applyBorder="1" applyAlignment="1">
      <alignment horizontal="center" vertical="center" wrapText="1"/>
    </xf>
    <xf numFmtId="3" fontId="30" fillId="0" borderId="44" xfId="0" applyNumberFormat="1" applyFont="1" applyFill="1" applyBorder="1" applyAlignment="1">
      <alignment horizontal="center" vertical="center" wrapText="1"/>
    </xf>
    <xf numFmtId="3" fontId="30" fillId="30" borderId="44" xfId="0" applyNumberFormat="1" applyFont="1" applyFill="1" applyBorder="1" applyAlignment="1">
      <alignment horizontal="center" vertical="center" wrapText="1"/>
    </xf>
    <xf numFmtId="3" fontId="43" fillId="0" borderId="44" xfId="0" applyNumberFormat="1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3" fontId="43" fillId="0" borderId="61" xfId="0" applyNumberFormat="1" applyFont="1" applyBorder="1" applyAlignment="1">
      <alignment horizontal="center" vertical="center"/>
    </xf>
    <xf numFmtId="0" fontId="30" fillId="0" borderId="45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3" fontId="30" fillId="30" borderId="14" xfId="0" applyNumberFormat="1" applyFont="1" applyFill="1" applyBorder="1" applyAlignment="1">
      <alignment horizontal="center" vertical="center" wrapText="1"/>
    </xf>
    <xf numFmtId="3" fontId="43" fillId="30" borderId="42" xfId="0" applyNumberFormat="1" applyFont="1" applyFill="1" applyBorder="1" applyAlignment="1">
      <alignment horizontal="center" vertical="center" wrapText="1"/>
    </xf>
    <xf numFmtId="3" fontId="43" fillId="30" borderId="43" xfId="0" applyNumberFormat="1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3" fontId="43" fillId="30" borderId="44" xfId="0" applyNumberFormat="1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left" vertical="center" wrapText="1"/>
    </xf>
    <xf numFmtId="0" fontId="31" fillId="26" borderId="14" xfId="0" applyFont="1" applyFill="1" applyBorder="1" applyAlignment="1">
      <alignment horizontal="center" vertical="center" wrapText="1"/>
    </xf>
    <xf numFmtId="3" fontId="46" fillId="26" borderId="14" xfId="0" applyNumberFormat="1" applyFont="1" applyFill="1" applyBorder="1" applyAlignment="1">
      <alignment horizontal="center" vertical="center" wrapText="1"/>
    </xf>
    <xf numFmtId="3" fontId="31" fillId="30" borderId="14" xfId="0" applyNumberFormat="1" applyFont="1" applyFill="1" applyBorder="1" applyAlignment="1">
      <alignment horizontal="center" vertical="center" wrapText="1"/>
    </xf>
    <xf numFmtId="3" fontId="31" fillId="26" borderId="14" xfId="0" applyNumberFormat="1" applyFont="1" applyFill="1" applyBorder="1" applyAlignment="1">
      <alignment horizontal="center" vertical="center" wrapText="1"/>
    </xf>
    <xf numFmtId="0" fontId="46" fillId="26" borderId="14" xfId="0" applyFont="1" applyFill="1" applyBorder="1" applyAlignment="1">
      <alignment horizontal="center" vertical="center" wrapText="1"/>
    </xf>
    <xf numFmtId="3" fontId="46" fillId="26" borderId="31" xfId="0" applyNumberFormat="1" applyFont="1" applyFill="1" applyBorder="1" applyAlignment="1">
      <alignment horizontal="center" vertical="center"/>
    </xf>
    <xf numFmtId="0" fontId="30" fillId="25" borderId="14" xfId="0" applyFont="1" applyFill="1" applyBorder="1" applyAlignment="1">
      <alignment horizontal="center" vertical="center" wrapText="1"/>
    </xf>
    <xf numFmtId="3" fontId="30" fillId="25" borderId="14" xfId="0" applyNumberFormat="1" applyFont="1" applyFill="1" applyBorder="1" applyAlignment="1">
      <alignment horizontal="center" vertical="center" wrapText="1"/>
    </xf>
    <xf numFmtId="0" fontId="43" fillId="25" borderId="14" xfId="0" applyFont="1" applyFill="1" applyBorder="1" applyAlignment="1">
      <alignment horizontal="center" vertical="center" wrapText="1"/>
    </xf>
    <xf numFmtId="3" fontId="43" fillId="25" borderId="31" xfId="0" applyNumberFormat="1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 wrapText="1"/>
    </xf>
    <xf numFmtId="3" fontId="30" fillId="0" borderId="22" xfId="0" applyNumberFormat="1" applyFont="1" applyFill="1" applyBorder="1" applyAlignment="1">
      <alignment horizontal="center" vertical="center" wrapText="1"/>
    </xf>
    <xf numFmtId="3" fontId="30" fillId="30" borderId="22" xfId="0" applyNumberFormat="1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2" fontId="46" fillId="0" borderId="41" xfId="0" applyNumberFormat="1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 wrapText="1"/>
    </xf>
    <xf numFmtId="3" fontId="41" fillId="0" borderId="14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/>
    </xf>
    <xf numFmtId="0" fontId="30" fillId="26" borderId="22" xfId="0" applyFont="1" applyFill="1" applyBorder="1" applyAlignment="1">
      <alignment horizontal="center" vertical="center" wrapText="1"/>
    </xf>
    <xf numFmtId="0" fontId="43" fillId="26" borderId="22" xfId="0" applyFont="1" applyFill="1" applyBorder="1" applyAlignment="1">
      <alignment horizontal="center" vertical="center" wrapText="1"/>
    </xf>
    <xf numFmtId="3" fontId="43" fillId="26" borderId="22" xfId="0" applyNumberFormat="1" applyFont="1" applyFill="1" applyBorder="1" applyAlignment="1">
      <alignment horizontal="center" vertical="center" wrapText="1"/>
    </xf>
    <xf numFmtId="3" fontId="43" fillId="30" borderId="22" xfId="0" applyNumberFormat="1" applyFont="1" applyFill="1" applyBorder="1" applyAlignment="1">
      <alignment horizontal="center" vertical="center" wrapText="1"/>
    </xf>
    <xf numFmtId="3" fontId="45" fillId="26" borderId="36" xfId="0" applyNumberFormat="1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 wrapText="1"/>
    </xf>
    <xf numFmtId="3" fontId="30" fillId="0" borderId="49" xfId="0" applyNumberFormat="1" applyFont="1" applyFill="1" applyBorder="1" applyAlignment="1">
      <alignment horizontal="center" vertical="center" wrapText="1"/>
    </xf>
    <xf numFmtId="3" fontId="30" fillId="30" borderId="49" xfId="0" applyNumberFormat="1" applyFont="1" applyFill="1" applyBorder="1" applyAlignment="1">
      <alignment horizontal="center" vertical="center" wrapText="1"/>
    </xf>
    <xf numFmtId="3" fontId="43" fillId="30" borderId="49" xfId="0" applyNumberFormat="1" applyFont="1" applyFill="1" applyBorder="1" applyAlignment="1">
      <alignment horizontal="center" vertical="center" wrapText="1"/>
    </xf>
    <xf numFmtId="3" fontId="43" fillId="0" borderId="49" xfId="0" applyNumberFormat="1" applyFont="1" applyFill="1" applyBorder="1" applyAlignment="1">
      <alignment horizontal="center" vertical="center" wrapText="1"/>
    </xf>
    <xf numFmtId="0" fontId="43" fillId="0" borderId="49" xfId="0" applyFont="1" applyFill="1" applyBorder="1" applyAlignment="1">
      <alignment horizontal="center" vertical="center" wrapText="1"/>
    </xf>
    <xf numFmtId="3" fontId="43" fillId="0" borderId="62" xfId="0" applyNumberFormat="1" applyFont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right" vertical="center" wrapText="1"/>
    </xf>
    <xf numFmtId="0" fontId="30" fillId="0" borderId="52" xfId="0" applyFont="1" applyFill="1" applyBorder="1" applyAlignment="1">
      <alignment horizontal="center" vertical="center" wrapText="1"/>
    </xf>
    <xf numFmtId="3" fontId="30" fillId="0" borderId="52" xfId="0" applyNumberFormat="1" applyFont="1" applyFill="1" applyBorder="1" applyAlignment="1">
      <alignment horizontal="center" vertical="center" wrapText="1"/>
    </xf>
    <xf numFmtId="3" fontId="30" fillId="30" borderId="52" xfId="0" applyNumberFormat="1" applyFont="1" applyFill="1" applyBorder="1" applyAlignment="1">
      <alignment horizontal="center" vertical="center" wrapText="1"/>
    </xf>
    <xf numFmtId="3" fontId="43" fillId="30" borderId="52" xfId="0" applyNumberFormat="1" applyFont="1" applyFill="1" applyBorder="1" applyAlignment="1">
      <alignment horizontal="center" vertical="center" wrapText="1"/>
    </xf>
    <xf numFmtId="3" fontId="43" fillId="0" borderId="52" xfId="0" applyNumberFormat="1" applyFont="1" applyFill="1" applyBorder="1" applyAlignment="1">
      <alignment horizontal="center" vertical="center" wrapText="1"/>
    </xf>
    <xf numFmtId="0" fontId="43" fillId="0" borderId="52" xfId="0" applyFont="1" applyFill="1" applyBorder="1" applyAlignment="1">
      <alignment horizontal="center" vertical="center" wrapText="1"/>
    </xf>
    <xf numFmtId="3" fontId="43" fillId="0" borderId="63" xfId="0" applyNumberFormat="1" applyFont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 wrapText="1"/>
    </xf>
    <xf numFmtId="3" fontId="30" fillId="0" borderId="53" xfId="0" applyNumberFormat="1" applyFont="1" applyFill="1" applyBorder="1" applyAlignment="1">
      <alignment horizontal="center" vertical="center" wrapText="1"/>
    </xf>
    <xf numFmtId="3" fontId="30" fillId="30" borderId="53" xfId="0" applyNumberFormat="1" applyFont="1" applyFill="1" applyBorder="1" applyAlignment="1">
      <alignment horizontal="center" vertical="center" wrapText="1"/>
    </xf>
    <xf numFmtId="0" fontId="43" fillId="0" borderId="53" xfId="0" applyFont="1" applyFill="1" applyBorder="1" applyAlignment="1">
      <alignment horizontal="center" vertical="center" wrapText="1"/>
    </xf>
    <xf numFmtId="3" fontId="43" fillId="0" borderId="64" xfId="0" applyNumberFormat="1" applyFont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 wrapText="1"/>
    </xf>
    <xf numFmtId="3" fontId="30" fillId="0" borderId="54" xfId="0" applyNumberFormat="1" applyFont="1" applyFill="1" applyBorder="1" applyAlignment="1">
      <alignment horizontal="center" vertical="center" wrapText="1"/>
    </xf>
    <xf numFmtId="3" fontId="30" fillId="30" borderId="54" xfId="0" applyNumberFormat="1" applyFont="1" applyFill="1" applyBorder="1" applyAlignment="1">
      <alignment horizontal="center" vertical="center" wrapText="1"/>
    </xf>
    <xf numFmtId="0" fontId="43" fillId="0" borderId="54" xfId="0" applyFont="1" applyFill="1" applyBorder="1" applyAlignment="1">
      <alignment horizontal="center" vertical="center" wrapText="1"/>
    </xf>
    <xf numFmtId="3" fontId="43" fillId="0" borderId="65" xfId="0" applyNumberFormat="1" applyFont="1" applyBorder="1" applyAlignment="1">
      <alignment horizontal="center" vertical="center"/>
    </xf>
    <xf numFmtId="0" fontId="44" fillId="27" borderId="20" xfId="0" applyFont="1" applyFill="1" applyBorder="1" applyAlignment="1">
      <alignment horizontal="center" vertical="center" wrapText="1"/>
    </xf>
    <xf numFmtId="3" fontId="46" fillId="28" borderId="58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left" vertical="center" wrapText="1"/>
    </xf>
    <xf numFmtId="0" fontId="39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left" vertical="center" wrapText="1"/>
    </xf>
    <xf numFmtId="2" fontId="30" fillId="0" borderId="41" xfId="0" applyNumberFormat="1" applyFont="1" applyFill="1" applyBorder="1" applyAlignment="1">
      <alignment horizontal="left" vertical="center" wrapText="1"/>
    </xf>
    <xf numFmtId="2" fontId="31" fillId="0" borderId="41" xfId="0" applyNumberFormat="1" applyFont="1" applyFill="1" applyBorder="1" applyAlignment="1">
      <alignment horizontal="left" vertical="center" wrapText="1"/>
    </xf>
    <xf numFmtId="0" fontId="43" fillId="0" borderId="41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/>
    </xf>
    <xf numFmtId="0" fontId="30" fillId="0" borderId="33" xfId="0" applyFont="1" applyFill="1" applyBorder="1" applyAlignment="1">
      <alignment horizontal="left" vertical="center" wrapText="1"/>
    </xf>
    <xf numFmtId="3" fontId="30" fillId="0" borderId="33" xfId="0" applyNumberFormat="1" applyFont="1" applyBorder="1" applyAlignment="1">
      <alignment horizontal="center" vertical="center"/>
    </xf>
    <xf numFmtId="3" fontId="29" fillId="0" borderId="33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3" fontId="30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0" fontId="0" fillId="0" borderId="77" xfId="0" applyBorder="1"/>
    <xf numFmtId="3" fontId="23" fillId="0" borderId="77" xfId="0" applyNumberFormat="1" applyFont="1" applyBorder="1" applyAlignment="1">
      <alignment horizontal="center" vertical="center" wrapText="1"/>
    </xf>
    <xf numFmtId="3" fontId="31" fillId="32" borderId="14" xfId="0" applyNumberFormat="1" applyFont="1" applyFill="1" applyBorder="1" applyAlignment="1">
      <alignment horizontal="center" vertical="center"/>
    </xf>
    <xf numFmtId="3" fontId="31" fillId="33" borderId="14" xfId="0" applyNumberFormat="1" applyFont="1" applyFill="1" applyBorder="1" applyAlignment="1">
      <alignment horizontal="center" vertical="center" wrapText="1"/>
    </xf>
    <xf numFmtId="4" fontId="31" fillId="0" borderId="14" xfId="0" applyNumberFormat="1" applyFont="1" applyFill="1" applyBorder="1" applyAlignment="1">
      <alignment horizontal="center" vertical="center" wrapText="1"/>
    </xf>
    <xf numFmtId="4" fontId="31" fillId="0" borderId="22" xfId="0" applyNumberFormat="1" applyFont="1" applyFill="1" applyBorder="1" applyAlignment="1">
      <alignment horizontal="center" vertical="center" wrapText="1"/>
    </xf>
    <xf numFmtId="165" fontId="31" fillId="0" borderId="22" xfId="0" applyNumberFormat="1" applyFont="1" applyFill="1" applyBorder="1" applyAlignment="1">
      <alignment horizontal="center" vertical="center" wrapText="1"/>
    </xf>
    <xf numFmtId="165" fontId="31" fillId="0" borderId="14" xfId="0" applyNumberFormat="1" applyFont="1" applyFill="1" applyBorder="1" applyAlignment="1">
      <alignment horizontal="center" vertical="center" wrapText="1"/>
    </xf>
    <xf numFmtId="3" fontId="31" fillId="0" borderId="19" xfId="0" applyNumberFormat="1" applyFont="1" applyFill="1" applyBorder="1" applyAlignment="1">
      <alignment horizontal="center" vertical="center" wrapText="1"/>
    </xf>
    <xf numFmtId="3" fontId="22" fillId="0" borderId="33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31" fillId="0" borderId="22" xfId="0" applyNumberFormat="1" applyFont="1" applyFill="1" applyBorder="1" applyAlignment="1">
      <alignment horizontal="center" vertical="center" wrapText="1"/>
    </xf>
    <xf numFmtId="3" fontId="31" fillId="0" borderId="17" xfId="0" applyNumberFormat="1" applyFont="1" applyFill="1" applyBorder="1" applyAlignment="1">
      <alignment horizontal="center" vertical="center" wrapText="1"/>
    </xf>
    <xf numFmtId="3" fontId="31" fillId="35" borderId="19" xfId="0" applyNumberFormat="1" applyFont="1" applyFill="1" applyBorder="1" applyAlignment="1">
      <alignment horizontal="center" vertical="center"/>
    </xf>
    <xf numFmtId="3" fontId="34" fillId="35" borderId="14" xfId="0" applyNumberFormat="1" applyFont="1" applyFill="1" applyBorder="1" applyAlignment="1">
      <alignment horizontal="center" vertical="center"/>
    </xf>
    <xf numFmtId="3" fontId="31" fillId="35" borderId="14" xfId="0" applyNumberFormat="1" applyFont="1" applyFill="1" applyBorder="1" applyAlignment="1">
      <alignment horizontal="center" vertical="center"/>
    </xf>
    <xf numFmtId="3" fontId="34" fillId="35" borderId="14" xfId="0" applyNumberFormat="1" applyFont="1" applyFill="1" applyBorder="1" applyAlignment="1">
      <alignment horizontal="center" vertical="center" wrapText="1"/>
    </xf>
    <xf numFmtId="3" fontId="31" fillId="35" borderId="14" xfId="0" applyNumberFormat="1" applyFont="1" applyFill="1" applyBorder="1" applyAlignment="1">
      <alignment horizontal="center" vertical="center" wrapText="1"/>
    </xf>
    <xf numFmtId="4" fontId="31" fillId="35" borderId="14" xfId="0" applyNumberFormat="1" applyFont="1" applyFill="1" applyBorder="1" applyAlignment="1">
      <alignment horizontal="center" vertical="center" wrapText="1"/>
    </xf>
    <xf numFmtId="165" fontId="31" fillId="35" borderId="22" xfId="0" applyNumberFormat="1" applyFont="1" applyFill="1" applyBorder="1" applyAlignment="1">
      <alignment horizontal="center" vertical="center" wrapText="1"/>
    </xf>
    <xf numFmtId="165" fontId="31" fillId="35" borderId="14" xfId="0" applyNumberFormat="1" applyFont="1" applyFill="1" applyBorder="1" applyAlignment="1">
      <alignment horizontal="center" vertical="center" wrapText="1"/>
    </xf>
    <xf numFmtId="3" fontId="31" fillId="35" borderId="22" xfId="0" applyNumberFormat="1" applyFont="1" applyFill="1" applyBorder="1" applyAlignment="1">
      <alignment horizontal="center" vertical="center" wrapText="1"/>
    </xf>
    <xf numFmtId="3" fontId="31" fillId="35" borderId="17" xfId="0" applyNumberFormat="1" applyFont="1" applyFill="1" applyBorder="1" applyAlignment="1">
      <alignment horizontal="center" vertical="center" wrapText="1"/>
    </xf>
    <xf numFmtId="3" fontId="29" fillId="35" borderId="19" xfId="0" applyNumberFormat="1" applyFont="1" applyFill="1" applyBorder="1" applyAlignment="1">
      <alignment horizontal="center" vertical="center"/>
    </xf>
    <xf numFmtId="3" fontId="30" fillId="35" borderId="14" xfId="0" applyNumberFormat="1" applyFont="1" applyFill="1" applyBorder="1" applyAlignment="1">
      <alignment horizontal="center" vertical="center"/>
    </xf>
    <xf numFmtId="165" fontId="30" fillId="34" borderId="14" xfId="0" applyNumberFormat="1" applyFont="1" applyFill="1" applyBorder="1" applyAlignment="1">
      <alignment horizontal="center" vertical="center"/>
    </xf>
    <xf numFmtId="4" fontId="30" fillId="35" borderId="14" xfId="0" applyNumberFormat="1" applyFont="1" applyFill="1" applyBorder="1" applyAlignment="1">
      <alignment horizontal="center" vertical="center"/>
    </xf>
    <xf numFmtId="3" fontId="29" fillId="35" borderId="14" xfId="0" applyNumberFormat="1" applyFont="1" applyFill="1" applyBorder="1" applyAlignment="1">
      <alignment horizontal="center" vertical="center"/>
    </xf>
    <xf numFmtId="0" fontId="31" fillId="34" borderId="17" xfId="0" applyNumberFormat="1" applyFont="1" applyFill="1" applyBorder="1" applyAlignment="1">
      <alignment horizontal="center" vertical="center"/>
    </xf>
    <xf numFmtId="4" fontId="30" fillId="34" borderId="17" xfId="0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3" fontId="29" fillId="30" borderId="14" xfId="0" applyNumberFormat="1" applyFont="1" applyFill="1" applyBorder="1" applyAlignment="1">
      <alignment horizontal="center" vertical="center" wrapText="1"/>
    </xf>
    <xf numFmtId="3" fontId="29" fillId="31" borderId="20" xfId="0" applyNumberFormat="1" applyFont="1" applyFill="1" applyBorder="1" applyAlignment="1">
      <alignment horizontal="center" vertical="center" wrapText="1"/>
    </xf>
    <xf numFmtId="3" fontId="29" fillId="31" borderId="14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3" fontId="18" fillId="0" borderId="22" xfId="0" applyNumberFormat="1" applyFont="1" applyBorder="1"/>
    <xf numFmtId="164" fontId="21" fillId="0" borderId="78" xfId="0" applyNumberFormat="1" applyFont="1" applyBorder="1"/>
    <xf numFmtId="1" fontId="21" fillId="0" borderId="49" xfId="0" applyNumberFormat="1" applyFont="1" applyBorder="1" applyAlignment="1">
      <alignment horizontal="center"/>
    </xf>
    <xf numFmtId="3" fontId="21" fillId="0" borderId="49" xfId="0" applyNumberFormat="1" applyFont="1" applyBorder="1" applyAlignment="1">
      <alignment horizontal="center" vertical="top" wrapText="1"/>
    </xf>
    <xf numFmtId="3" fontId="18" fillId="0" borderId="49" xfId="0" applyNumberFormat="1" applyFont="1" applyBorder="1" applyAlignment="1">
      <alignment horizontal="center" vertical="top" wrapText="1"/>
    </xf>
    <xf numFmtId="3" fontId="18" fillId="0" borderId="49" xfId="0" applyNumberFormat="1" applyFont="1" applyBorder="1"/>
    <xf numFmtId="164" fontId="21" fillId="0" borderId="79" xfId="0" applyNumberFormat="1" applyFont="1" applyBorder="1"/>
    <xf numFmtId="1" fontId="21" fillId="0" borderId="43" xfId="0" applyNumberFormat="1" applyFont="1" applyBorder="1" applyAlignment="1">
      <alignment horizontal="center"/>
    </xf>
    <xf numFmtId="3" fontId="21" fillId="0" borderId="43" xfId="0" applyNumberFormat="1" applyFont="1" applyBorder="1" applyAlignment="1">
      <alignment horizontal="center" vertical="top" wrapText="1"/>
    </xf>
    <xf numFmtId="3" fontId="18" fillId="0" borderId="43" xfId="0" applyNumberFormat="1" applyFont="1" applyBorder="1" applyAlignment="1">
      <alignment horizontal="center" vertical="top" wrapText="1"/>
    </xf>
    <xf numFmtId="3" fontId="18" fillId="0" borderId="43" xfId="0" applyNumberFormat="1" applyFont="1" applyBorder="1"/>
    <xf numFmtId="164" fontId="21" fillId="0" borderId="80" xfId="0" applyNumberFormat="1" applyFont="1" applyBorder="1"/>
    <xf numFmtId="1" fontId="21" fillId="0" borderId="52" xfId="0" applyNumberFormat="1" applyFont="1" applyBorder="1" applyAlignment="1">
      <alignment horizontal="center"/>
    </xf>
    <xf numFmtId="3" fontId="21" fillId="0" borderId="52" xfId="0" applyNumberFormat="1" applyFont="1" applyBorder="1" applyAlignment="1">
      <alignment horizontal="center" vertical="top" wrapText="1"/>
    </xf>
    <xf numFmtId="3" fontId="18" fillId="0" borderId="52" xfId="0" applyNumberFormat="1" applyFont="1" applyBorder="1" applyAlignment="1">
      <alignment horizontal="center" vertical="top" wrapText="1"/>
    </xf>
    <xf numFmtId="3" fontId="18" fillId="0" borderId="52" xfId="0" applyNumberFormat="1" applyFont="1" applyBorder="1"/>
    <xf numFmtId="164" fontId="21" fillId="22" borderId="79" xfId="0" applyNumberFormat="1" applyFont="1" applyFill="1" applyBorder="1"/>
    <xf numFmtId="1" fontId="21" fillId="22" borderId="43" xfId="0" applyNumberFormat="1" applyFont="1" applyFill="1" applyBorder="1" applyAlignment="1">
      <alignment horizontal="center"/>
    </xf>
    <xf numFmtId="3" fontId="18" fillId="22" borderId="43" xfId="0" applyNumberFormat="1" applyFont="1" applyFill="1" applyBorder="1"/>
    <xf numFmtId="164" fontId="21" fillId="22" borderId="80" xfId="0" applyNumberFormat="1" applyFont="1" applyFill="1" applyBorder="1"/>
    <xf numFmtId="1" fontId="21" fillId="22" borderId="52" xfId="0" applyNumberFormat="1" applyFont="1" applyFill="1" applyBorder="1" applyAlignment="1">
      <alignment horizontal="center"/>
    </xf>
    <xf numFmtId="3" fontId="18" fillId="22" borderId="52" xfId="0" applyNumberFormat="1" applyFont="1" applyFill="1" applyBorder="1"/>
    <xf numFmtId="164" fontId="21" fillId="22" borderId="81" xfId="0" applyNumberFormat="1" applyFont="1" applyFill="1" applyBorder="1"/>
    <xf numFmtId="1" fontId="21" fillId="22" borderId="54" xfId="0" applyNumberFormat="1" applyFont="1" applyFill="1" applyBorder="1" applyAlignment="1">
      <alignment horizontal="center"/>
    </xf>
    <xf numFmtId="3" fontId="21" fillId="0" borderId="54" xfId="0" applyNumberFormat="1" applyFont="1" applyBorder="1" applyAlignment="1">
      <alignment horizontal="center" vertical="top" wrapText="1"/>
    </xf>
    <xf numFmtId="3" fontId="18" fillId="0" borderId="54" xfId="0" applyNumberFormat="1" applyFont="1" applyBorder="1" applyAlignment="1">
      <alignment horizontal="center" vertical="top" wrapText="1"/>
    </xf>
    <xf numFmtId="3" fontId="18" fillId="0" borderId="54" xfId="0" applyNumberFormat="1" applyFont="1" applyBorder="1"/>
    <xf numFmtId="3" fontId="18" fillId="22" borderId="54" xfId="0" applyNumberFormat="1" applyFont="1" applyFill="1" applyBorder="1"/>
    <xf numFmtId="164" fontId="21" fillId="22" borderId="78" xfId="0" applyNumberFormat="1" applyFont="1" applyFill="1" applyBorder="1"/>
    <xf numFmtId="1" fontId="21" fillId="22" borderId="49" xfId="0" applyNumberFormat="1" applyFont="1" applyFill="1" applyBorder="1" applyAlignment="1">
      <alignment horizontal="center"/>
    </xf>
    <xf numFmtId="3" fontId="21" fillId="22" borderId="49" xfId="0" applyNumberFormat="1" applyFont="1" applyFill="1" applyBorder="1" applyAlignment="1">
      <alignment horizontal="center" vertical="top" wrapText="1"/>
    </xf>
    <xf numFmtId="3" fontId="18" fillId="22" borderId="49" xfId="0" applyNumberFormat="1" applyFont="1" applyFill="1" applyBorder="1"/>
    <xf numFmtId="3" fontId="21" fillId="22" borderId="43" xfId="0" applyNumberFormat="1" applyFont="1" applyFill="1" applyBorder="1" applyAlignment="1">
      <alignment horizontal="center" vertical="top" wrapText="1"/>
    </xf>
    <xf numFmtId="3" fontId="21" fillId="22" borderId="52" xfId="0" applyNumberFormat="1" applyFont="1" applyFill="1" applyBorder="1" applyAlignment="1">
      <alignment horizontal="center" vertical="top" wrapText="1"/>
    </xf>
    <xf numFmtId="3" fontId="18" fillId="22" borderId="49" xfId="0" applyNumberFormat="1" applyFont="1" applyFill="1" applyBorder="1" applyAlignment="1">
      <alignment horizontal="center" vertical="top" wrapText="1"/>
    </xf>
    <xf numFmtId="3" fontId="18" fillId="22" borderId="43" xfId="0" applyNumberFormat="1" applyFont="1" applyFill="1" applyBorder="1" applyAlignment="1">
      <alignment horizontal="center" vertical="top" wrapText="1"/>
    </xf>
    <xf numFmtId="3" fontId="18" fillId="22" borderId="52" xfId="0" applyNumberFormat="1" applyFont="1" applyFill="1" applyBorder="1" applyAlignment="1">
      <alignment horizontal="center" vertical="top" wrapText="1"/>
    </xf>
    <xf numFmtId="3" fontId="21" fillId="22" borderId="54" xfId="0" applyNumberFormat="1" applyFont="1" applyFill="1" applyBorder="1" applyAlignment="1">
      <alignment horizontal="center" vertical="top" wrapText="1"/>
    </xf>
    <xf numFmtId="3" fontId="18" fillId="22" borderId="54" xfId="0" applyNumberFormat="1" applyFont="1" applyFill="1" applyBorder="1" applyAlignment="1">
      <alignment horizontal="center" vertical="top" wrapText="1"/>
    </xf>
    <xf numFmtId="3" fontId="20" fillId="0" borderId="83" xfId="0" applyNumberFormat="1" applyFont="1" applyBorder="1" applyAlignment="1">
      <alignment horizontal="center" vertical="top" wrapText="1"/>
    </xf>
    <xf numFmtId="3" fontId="18" fillId="0" borderId="30" xfId="0" applyNumberFormat="1" applyFont="1" applyBorder="1"/>
    <xf numFmtId="3" fontId="18" fillId="0" borderId="35" xfId="0" applyNumberFormat="1" applyFont="1" applyBorder="1"/>
    <xf numFmtId="3" fontId="18" fillId="0" borderId="84" xfId="0" applyNumberFormat="1" applyFont="1" applyBorder="1"/>
    <xf numFmtId="3" fontId="18" fillId="0" borderId="85" xfId="0" applyNumberFormat="1" applyFont="1" applyBorder="1"/>
    <xf numFmtId="3" fontId="18" fillId="0" borderId="86" xfId="0" applyNumberFormat="1" applyFont="1" applyBorder="1"/>
    <xf numFmtId="3" fontId="18" fillId="22" borderId="85" xfId="0" applyNumberFormat="1" applyFont="1" applyFill="1" applyBorder="1"/>
    <xf numFmtId="3" fontId="18" fillId="22" borderId="86" xfId="0" applyNumberFormat="1" applyFont="1" applyFill="1" applyBorder="1"/>
    <xf numFmtId="3" fontId="18" fillId="22" borderId="84" xfId="0" applyNumberFormat="1" applyFont="1" applyFill="1" applyBorder="1"/>
    <xf numFmtId="3" fontId="18" fillId="22" borderId="87" xfId="0" applyNumberFormat="1" applyFont="1" applyFill="1" applyBorder="1"/>
    <xf numFmtId="0" fontId="0" fillId="0" borderId="82" xfId="0" applyBorder="1"/>
    <xf numFmtId="3" fontId="0" fillId="0" borderId="82" xfId="0" applyNumberFormat="1" applyBorder="1"/>
    <xf numFmtId="0" fontId="18" fillId="0" borderId="82" xfId="0" applyFont="1" applyBorder="1"/>
    <xf numFmtId="0" fontId="0" fillId="22" borderId="82" xfId="0" applyNumberFormat="1" applyFill="1" applyBorder="1"/>
    <xf numFmtId="0" fontId="0" fillId="22" borderId="82" xfId="0" applyFill="1" applyBorder="1"/>
    <xf numFmtId="3" fontId="0" fillId="22" borderId="82" xfId="0" applyNumberFormat="1" applyFill="1" applyBorder="1"/>
    <xf numFmtId="0" fontId="0" fillId="0" borderId="82" xfId="0" applyNumberFormat="1" applyBorder="1"/>
    <xf numFmtId="3" fontId="29" fillId="0" borderId="19" xfId="0" applyNumberFormat="1" applyFont="1" applyFill="1" applyBorder="1" applyAlignment="1">
      <alignment horizontal="center" vertical="center"/>
    </xf>
    <xf numFmtId="3" fontId="21" fillId="0" borderId="49" xfId="0" applyNumberFormat="1" applyFont="1" applyBorder="1"/>
    <xf numFmtId="3" fontId="21" fillId="0" borderId="43" xfId="0" applyNumberFormat="1" applyFont="1" applyBorder="1"/>
    <xf numFmtId="0" fontId="0" fillId="0" borderId="96" xfId="0" applyBorder="1"/>
    <xf numFmtId="3" fontId="21" fillId="0" borderId="52" xfId="0" applyNumberFormat="1" applyFont="1" applyBorder="1"/>
    <xf numFmtId="3" fontId="21" fillId="22" borderId="43" xfId="0" applyNumberFormat="1" applyFont="1" applyFill="1" applyBorder="1"/>
    <xf numFmtId="3" fontId="21" fillId="22" borderId="52" xfId="0" applyNumberFormat="1" applyFont="1" applyFill="1" applyBorder="1"/>
    <xf numFmtId="3" fontId="21" fillId="0" borderId="54" xfId="0" applyNumberFormat="1" applyFont="1" applyBorder="1"/>
    <xf numFmtId="3" fontId="21" fillId="22" borderId="54" xfId="0" applyNumberFormat="1" applyFont="1" applyFill="1" applyBorder="1"/>
    <xf numFmtId="3" fontId="21" fillId="22" borderId="49" xfId="0" applyNumberFormat="1" applyFont="1" applyFill="1" applyBorder="1"/>
    <xf numFmtId="164" fontId="21" fillId="0" borderId="81" xfId="0" applyNumberFormat="1" applyFont="1" applyBorder="1"/>
    <xf numFmtId="1" fontId="21" fillId="0" borderId="54" xfId="0" applyNumberFormat="1" applyFont="1" applyBorder="1" applyAlignment="1">
      <alignment horizontal="center"/>
    </xf>
    <xf numFmtId="0" fontId="0" fillId="0" borderId="91" xfId="0" applyFill="1" applyBorder="1"/>
    <xf numFmtId="3" fontId="19" fillId="36" borderId="82" xfId="0" applyNumberFormat="1" applyFont="1" applyFill="1" applyBorder="1" applyAlignment="1">
      <alignment horizontal="center" vertical="top" wrapText="1"/>
    </xf>
    <xf numFmtId="3" fontId="0" fillId="36" borderId="82" xfId="0" applyNumberFormat="1" applyFill="1" applyBorder="1"/>
    <xf numFmtId="0" fontId="0" fillId="36" borderId="90" xfId="0" applyFill="1" applyBorder="1"/>
    <xf numFmtId="0" fontId="18" fillId="36" borderId="94" xfId="0" applyFont="1" applyFill="1" applyBorder="1"/>
    <xf numFmtId="0" fontId="0" fillId="36" borderId="95" xfId="0" applyFill="1" applyBorder="1"/>
    <xf numFmtId="3" fontId="0" fillId="36" borderId="97" xfId="0" applyNumberFormat="1" applyFill="1" applyBorder="1"/>
    <xf numFmtId="3" fontId="0" fillId="36" borderId="94" xfId="0" applyNumberFormat="1" applyFill="1" applyBorder="1"/>
    <xf numFmtId="3" fontId="0" fillId="36" borderId="95" xfId="0" applyNumberFormat="1" applyFill="1" applyBorder="1"/>
    <xf numFmtId="3" fontId="0" fillId="36" borderId="98" xfId="0" applyNumberFormat="1" applyFill="1" applyBorder="1"/>
    <xf numFmtId="0" fontId="0" fillId="36" borderId="88" xfId="0" applyFill="1" applyBorder="1" applyAlignment="1"/>
    <xf numFmtId="0" fontId="0" fillId="36" borderId="89" xfId="0" applyFill="1" applyBorder="1" applyAlignment="1"/>
    <xf numFmtId="0" fontId="0" fillId="36" borderId="82" xfId="0" applyFill="1" applyBorder="1"/>
    <xf numFmtId="0" fontId="18" fillId="36" borderId="82" xfId="0" applyFont="1" applyFill="1" applyBorder="1"/>
    <xf numFmtId="0" fontId="0" fillId="36" borderId="0" xfId="0" applyFill="1"/>
    <xf numFmtId="3" fontId="0" fillId="36" borderId="0" xfId="0" applyNumberFormat="1" applyFill="1"/>
    <xf numFmtId="3" fontId="47" fillId="36" borderId="0" xfId="0" applyNumberFormat="1" applyFont="1" applyFill="1"/>
    <xf numFmtId="3" fontId="19" fillId="0" borderId="83" xfId="0" applyNumberFormat="1" applyFont="1" applyBorder="1" applyAlignment="1">
      <alignment horizontal="center" vertical="top" wrapText="1"/>
    </xf>
    <xf numFmtId="3" fontId="21" fillId="0" borderId="30" xfId="0" applyNumberFormat="1" applyFont="1" applyBorder="1"/>
    <xf numFmtId="3" fontId="21" fillId="0" borderId="35" xfId="0" applyNumberFormat="1" applyFont="1" applyBorder="1"/>
    <xf numFmtId="3" fontId="21" fillId="0" borderId="84" xfId="0" applyNumberFormat="1" applyFont="1" applyBorder="1"/>
    <xf numFmtId="3" fontId="21" fillId="0" borderId="85" xfId="0" applyNumberFormat="1" applyFont="1" applyBorder="1"/>
    <xf numFmtId="3" fontId="21" fillId="0" borderId="86" xfId="0" applyNumberFormat="1" applyFont="1" applyBorder="1"/>
    <xf numFmtId="3" fontId="21" fillId="22" borderId="85" xfId="0" applyNumberFormat="1" applyFont="1" applyFill="1" applyBorder="1"/>
    <xf numFmtId="3" fontId="21" fillId="22" borderId="87" xfId="0" applyNumberFormat="1" applyFont="1" applyFill="1" applyBorder="1"/>
    <xf numFmtId="3" fontId="21" fillId="22" borderId="84" xfId="0" applyNumberFormat="1" applyFont="1" applyFill="1" applyBorder="1"/>
    <xf numFmtId="3" fontId="21" fillId="22" borderId="86" xfId="0" applyNumberFormat="1" applyFont="1" applyFill="1" applyBorder="1"/>
    <xf numFmtId="3" fontId="21" fillId="0" borderId="87" xfId="0" applyNumberFormat="1" applyFont="1" applyBorder="1"/>
    <xf numFmtId="3" fontId="19" fillId="0" borderId="14" xfId="0" applyNumberFormat="1" applyFont="1" applyFill="1" applyBorder="1" applyAlignment="1">
      <alignment horizontal="center" vertical="top" wrapText="1"/>
    </xf>
    <xf numFmtId="3" fontId="19" fillId="0" borderId="100" xfId="0" applyNumberFormat="1" applyFont="1" applyFill="1" applyBorder="1" applyAlignment="1">
      <alignment horizontal="center" vertical="top" wrapText="1"/>
    </xf>
    <xf numFmtId="3" fontId="21" fillId="0" borderId="14" xfId="0" applyNumberFormat="1" applyFont="1" applyFill="1" applyBorder="1"/>
    <xf numFmtId="3" fontId="21" fillId="0" borderId="100" xfId="0" applyNumberFormat="1" applyFont="1" applyFill="1" applyBorder="1"/>
    <xf numFmtId="0" fontId="0" fillId="0" borderId="14" xfId="0" applyFill="1" applyBorder="1"/>
    <xf numFmtId="0" fontId="0" fillId="0" borderId="100" xfId="0" applyFill="1" applyBorder="1"/>
    <xf numFmtId="0" fontId="18" fillId="0" borderId="14" xfId="0" applyFont="1" applyFill="1" applyBorder="1"/>
    <xf numFmtId="0" fontId="18" fillId="0" borderId="100" xfId="0" applyFont="1" applyFill="1" applyBorder="1"/>
    <xf numFmtId="3" fontId="0" fillId="0" borderId="14" xfId="0" applyNumberFormat="1" applyFill="1" applyBorder="1"/>
    <xf numFmtId="3" fontId="0" fillId="0" borderId="100" xfId="0" applyNumberFormat="1" applyFill="1" applyBorder="1"/>
    <xf numFmtId="3" fontId="0" fillId="0" borderId="17" xfId="0" applyNumberFormat="1" applyFill="1" applyBorder="1"/>
    <xf numFmtId="0" fontId="0" fillId="0" borderId="99" xfId="0" applyFill="1" applyBorder="1"/>
    <xf numFmtId="2" fontId="48" fillId="0" borderId="41" xfId="0" applyNumberFormat="1" applyFont="1" applyFill="1" applyBorder="1" applyAlignment="1">
      <alignment horizontal="left" vertical="center" wrapText="1"/>
    </xf>
    <xf numFmtId="0" fontId="49" fillId="0" borderId="45" xfId="0" applyFont="1" applyFill="1" applyBorder="1" applyAlignment="1">
      <alignment horizontal="left" vertical="center" wrapText="1"/>
    </xf>
    <xf numFmtId="0" fontId="49" fillId="0" borderId="48" xfId="0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right" vertical="center" wrapText="1"/>
    </xf>
    <xf numFmtId="3" fontId="31" fillId="37" borderId="14" xfId="0" applyNumberFormat="1" applyFont="1" applyFill="1" applyBorder="1" applyAlignment="1">
      <alignment horizontal="center" vertical="center" wrapText="1"/>
    </xf>
    <xf numFmtId="0" fontId="29" fillId="37" borderId="13" xfId="0" applyFont="1" applyFill="1" applyBorder="1" applyAlignment="1">
      <alignment horizontal="center" vertical="center"/>
    </xf>
    <xf numFmtId="0" fontId="38" fillId="37" borderId="41" xfId="0" applyFont="1" applyFill="1" applyBorder="1" applyAlignment="1">
      <alignment horizontal="left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4" fillId="37" borderId="14" xfId="0" applyFont="1" applyFill="1" applyBorder="1" applyAlignment="1">
      <alignment horizontal="center" vertical="center" wrapText="1"/>
    </xf>
    <xf numFmtId="3" fontId="24" fillId="0" borderId="0" xfId="0" applyNumberFormat="1" applyFont="1"/>
    <xf numFmtId="3" fontId="24" fillId="0" borderId="0" xfId="0" applyNumberFormat="1" applyFont="1" applyFill="1"/>
    <xf numFmtId="3" fontId="46" fillId="38" borderId="31" xfId="0" applyNumberFormat="1" applyFont="1" applyFill="1" applyBorder="1" applyAlignment="1">
      <alignment horizontal="center" vertical="center"/>
    </xf>
    <xf numFmtId="3" fontId="25" fillId="0" borderId="0" xfId="0" applyNumberFormat="1" applyFont="1"/>
    <xf numFmtId="3" fontId="24" fillId="0" borderId="0" xfId="0" applyNumberFormat="1" applyFont="1" applyBorder="1"/>
    <xf numFmtId="164" fontId="19" fillId="0" borderId="0" xfId="0" applyNumberFormat="1" applyFont="1" applyBorder="1" applyAlignment="1">
      <alignment horizontal="center" vertical="top" wrapText="1"/>
    </xf>
    <xf numFmtId="0" fontId="0" fillId="36" borderId="88" xfId="0" applyFill="1" applyBorder="1" applyAlignment="1"/>
    <xf numFmtId="0" fontId="0" fillId="36" borderId="89" xfId="0" applyFill="1" applyBorder="1" applyAlignment="1"/>
    <xf numFmtId="0" fontId="0" fillId="0" borderId="90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164" fontId="19" fillId="0" borderId="92" xfId="0" applyNumberFormat="1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93" xfId="0" applyBorder="1" applyAlignment="1">
      <alignment horizontal="center" vertical="top" wrapText="1"/>
    </xf>
    <xf numFmtId="0" fontId="0" fillId="36" borderId="82" xfId="0" applyFill="1" applyBorder="1" applyAlignment="1"/>
    <xf numFmtId="0" fontId="37" fillId="4" borderId="25" xfId="0" applyFont="1" applyFill="1" applyBorder="1" applyAlignment="1">
      <alignment horizontal="center" vertical="center" wrapText="1"/>
    </xf>
    <xf numFmtId="0" fontId="31" fillId="22" borderId="68" xfId="0" applyFont="1" applyFill="1" applyBorder="1" applyAlignment="1">
      <alignment horizontal="center" vertical="center" wrapText="1"/>
    </xf>
    <xf numFmtId="0" fontId="31" fillId="22" borderId="55" xfId="0" applyFont="1" applyFill="1" applyBorder="1" applyAlignment="1">
      <alignment horizontal="center" vertical="center" wrapText="1"/>
    </xf>
    <xf numFmtId="0" fontId="34" fillId="0" borderId="69" xfId="0" applyFont="1" applyBorder="1" applyAlignment="1">
      <alignment horizontal="center" vertical="center" wrapText="1"/>
    </xf>
    <xf numFmtId="0" fontId="31" fillId="22" borderId="66" xfId="0" applyFont="1" applyFill="1" applyBorder="1" applyAlignment="1">
      <alignment horizontal="center" vertical="center" wrapText="1"/>
    </xf>
    <xf numFmtId="0" fontId="31" fillId="22" borderId="67" xfId="0" applyFont="1" applyFill="1" applyBorder="1" applyAlignment="1">
      <alignment horizontal="center" vertical="center" wrapText="1"/>
    </xf>
    <xf numFmtId="0" fontId="31" fillId="0" borderId="32" xfId="0" applyFont="1" applyBorder="1" applyAlignment="1">
      <alignment horizontal="left" vertical="center" wrapText="1"/>
    </xf>
    <xf numFmtId="0" fontId="34" fillId="0" borderId="41" xfId="0" applyFont="1" applyBorder="1" applyAlignment="1">
      <alignment vertical="center"/>
    </xf>
    <xf numFmtId="0" fontId="34" fillId="0" borderId="32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center" vertical="center" textRotation="90" wrapText="1"/>
    </xf>
    <xf numFmtId="0" fontId="34" fillId="0" borderId="13" xfId="0" applyFont="1" applyBorder="1" applyAlignment="1">
      <alignment horizontal="left" vertical="center" wrapText="1"/>
    </xf>
    <xf numFmtId="0" fontId="31" fillId="0" borderId="24" xfId="0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textRotation="90"/>
    </xf>
    <xf numFmtId="0" fontId="31" fillId="22" borderId="39" xfId="0" applyFont="1" applyFill="1" applyBorder="1" applyAlignment="1">
      <alignment horizontal="center" vertical="center"/>
    </xf>
    <xf numFmtId="0" fontId="31" fillId="34" borderId="39" xfId="0" applyFont="1" applyFill="1" applyBorder="1" applyAlignment="1">
      <alignment horizontal="center" vertical="center"/>
    </xf>
    <xf numFmtId="0" fontId="31" fillId="22" borderId="13" xfId="0" applyFont="1" applyFill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/>
    </xf>
    <xf numFmtId="0" fontId="31" fillId="22" borderId="3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4" fillId="0" borderId="32" xfId="0" applyFont="1" applyBorder="1" applyAlignment="1">
      <alignment vertical="center" wrapText="1"/>
    </xf>
    <xf numFmtId="0" fontId="34" fillId="0" borderId="32" xfId="0" applyFont="1" applyBorder="1" applyAlignment="1">
      <alignment horizontal="left" vertical="center"/>
    </xf>
    <xf numFmtId="0" fontId="34" fillId="0" borderId="41" xfId="0" applyFont="1" applyBorder="1" applyAlignment="1">
      <alignment horizontal="left" vertical="center"/>
    </xf>
    <xf numFmtId="0" fontId="31" fillId="22" borderId="66" xfId="0" applyFont="1" applyFill="1" applyBorder="1" applyAlignment="1">
      <alignment horizontal="center" vertical="center"/>
    </xf>
    <xf numFmtId="0" fontId="31" fillId="22" borderId="67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left" vertical="center" wrapText="1"/>
    </xf>
    <xf numFmtId="0" fontId="34" fillId="0" borderId="13" xfId="0" applyFont="1" applyBorder="1" applyAlignment="1">
      <alignment horizontal="center" vertical="center" textRotation="90"/>
    </xf>
    <xf numFmtId="0" fontId="31" fillId="22" borderId="69" xfId="0" applyFont="1" applyFill="1" applyBorder="1" applyAlignment="1">
      <alignment horizontal="center" vertical="center" wrapText="1"/>
    </xf>
    <xf numFmtId="0" fontId="31" fillId="22" borderId="70" xfId="0" applyFont="1" applyFill="1" applyBorder="1" applyAlignment="1">
      <alignment horizontal="center" vertical="center" wrapText="1"/>
    </xf>
    <xf numFmtId="0" fontId="31" fillId="22" borderId="71" xfId="0" applyFont="1" applyFill="1" applyBorder="1" applyAlignment="1">
      <alignment horizontal="center" vertical="center" wrapText="1"/>
    </xf>
    <xf numFmtId="0" fontId="31" fillId="22" borderId="72" xfId="0" applyFont="1" applyFill="1" applyBorder="1" applyAlignment="1">
      <alignment horizontal="center" vertical="center" wrapText="1"/>
    </xf>
    <xf numFmtId="0" fontId="31" fillId="22" borderId="73" xfId="0" applyFont="1" applyFill="1" applyBorder="1" applyAlignment="1">
      <alignment horizontal="center" vertical="center" wrapText="1"/>
    </xf>
    <xf numFmtId="0" fontId="31" fillId="22" borderId="74" xfId="0" applyFont="1" applyFill="1" applyBorder="1" applyAlignment="1">
      <alignment horizontal="center" vertical="center" wrapText="1"/>
    </xf>
    <xf numFmtId="0" fontId="31" fillId="22" borderId="75" xfId="0" applyFont="1" applyFill="1" applyBorder="1" applyAlignment="1">
      <alignment horizontal="center" vertical="center" wrapText="1"/>
    </xf>
    <xf numFmtId="0" fontId="31" fillId="22" borderId="76" xfId="0" applyFont="1" applyFill="1" applyBorder="1" applyAlignment="1">
      <alignment horizontal="center" vertical="center"/>
    </xf>
    <xf numFmtId="0" fontId="31" fillId="32" borderId="66" xfId="0" applyFont="1" applyFill="1" applyBorder="1" applyAlignment="1">
      <alignment horizontal="center" vertical="center" wrapText="1"/>
    </xf>
    <xf numFmtId="0" fontId="31" fillId="32" borderId="67" xfId="0" applyFont="1" applyFill="1" applyBorder="1" applyAlignment="1">
      <alignment horizontal="center" vertical="center" wrapText="1"/>
    </xf>
    <xf numFmtId="0" fontId="31" fillId="34" borderId="66" xfId="0" applyFont="1" applyFill="1" applyBorder="1" applyAlignment="1">
      <alignment horizontal="center" vertical="center"/>
    </xf>
    <xf numFmtId="0" fontId="31" fillId="34" borderId="67" xfId="0" applyFont="1" applyFill="1" applyBorder="1" applyAlignment="1">
      <alignment horizontal="center" vertical="center"/>
    </xf>
    <xf numFmtId="0" fontId="31" fillId="32" borderId="66" xfId="0" applyFont="1" applyFill="1" applyBorder="1" applyAlignment="1">
      <alignment horizontal="center" vertical="center"/>
    </xf>
    <xf numFmtId="0" fontId="31" fillId="32" borderId="67" xfId="0" applyFont="1" applyFill="1" applyBorder="1" applyAlignment="1">
      <alignment horizontal="center" vertical="center"/>
    </xf>
    <xf numFmtId="0" fontId="37" fillId="4" borderId="25" xfId="0" applyFont="1" applyFill="1" applyBorder="1" applyAlignment="1">
      <alignment horizontal="center" vertical="top"/>
    </xf>
    <xf numFmtId="0" fontId="31" fillId="22" borderId="10" xfId="0" applyFont="1" applyFill="1" applyBorder="1" applyAlignment="1">
      <alignment horizontal="center" vertical="center"/>
    </xf>
    <xf numFmtId="0" fontId="36" fillId="22" borderId="11" xfId="0" applyFont="1" applyFill="1" applyBorder="1" applyAlignment="1">
      <alignment horizontal="center" vertical="center"/>
    </xf>
    <xf numFmtId="0" fontId="31" fillId="22" borderId="28" xfId="0" applyFont="1" applyFill="1" applyBorder="1" applyAlignment="1">
      <alignment horizontal="center" vertical="center"/>
    </xf>
    <xf numFmtId="0" fontId="31" fillId="22" borderId="31" xfId="0" applyFont="1" applyFill="1" applyBorder="1" applyAlignment="1">
      <alignment horizontal="center" vertical="center"/>
    </xf>
    <xf numFmtId="0" fontId="31" fillId="22" borderId="35" xfId="0" applyFont="1" applyFill="1" applyBorder="1" applyAlignment="1">
      <alignment horizontal="center" vertical="center"/>
    </xf>
    <xf numFmtId="0" fontId="31" fillId="22" borderId="33" xfId="0" applyFont="1" applyFill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29" fillId="22" borderId="22" xfId="0" applyFont="1" applyFill="1" applyBorder="1" applyAlignment="1">
      <alignment horizontal="center" vertical="center" wrapText="1"/>
    </xf>
    <xf numFmtId="0" fontId="29" fillId="22" borderId="20" xfId="0" applyFont="1" applyFill="1" applyBorder="1" applyAlignment="1">
      <alignment horizontal="center" vertical="center" wrapText="1"/>
    </xf>
    <xf numFmtId="0" fontId="37" fillId="4" borderId="66" xfId="0" applyFont="1" applyFill="1" applyBorder="1" applyAlignment="1">
      <alignment horizontal="center" vertical="center"/>
    </xf>
    <xf numFmtId="0" fontId="37" fillId="4" borderId="67" xfId="0" applyFont="1" applyFill="1" applyBorder="1" applyAlignment="1">
      <alignment horizontal="center" vertical="center"/>
    </xf>
    <xf numFmtId="0" fontId="29" fillId="22" borderId="1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29" fillId="22" borderId="56" xfId="0" applyFont="1" applyFill="1" applyBorder="1" applyAlignment="1">
      <alignment horizontal="center" vertical="center" wrapText="1"/>
    </xf>
    <xf numFmtId="0" fontId="29" fillId="22" borderId="57" xfId="0" applyFont="1" applyFill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29" fillId="29" borderId="14" xfId="0" applyFont="1" applyFill="1" applyBorder="1" applyAlignment="1">
      <alignment horizontal="center" vertical="center" wrapText="1"/>
    </xf>
    <xf numFmtId="0" fontId="30" fillId="30" borderId="14" xfId="0" applyFont="1" applyFill="1" applyBorder="1" applyAlignment="1">
      <alignment horizontal="center" vertical="center" wrapText="1"/>
    </xf>
    <xf numFmtId="0" fontId="42" fillId="22" borderId="19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42" fillId="22" borderId="48" xfId="0" applyFont="1" applyFill="1" applyBorder="1" applyAlignment="1">
      <alignment horizontal="center" vertical="center" wrapText="1"/>
    </xf>
    <xf numFmtId="0" fontId="42" fillId="22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9" fillId="22" borderId="24" xfId="0" applyFont="1" applyFill="1" applyBorder="1" applyAlignment="1">
      <alignment horizontal="center" vertical="center"/>
    </xf>
    <xf numFmtId="0" fontId="29" fillId="22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9" fillId="22" borderId="19" xfId="0" applyFont="1" applyFill="1" applyBorder="1" applyAlignment="1">
      <alignment horizontal="center" vertical="center"/>
    </xf>
    <xf numFmtId="0" fontId="29" fillId="22" borderId="14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9" fillId="22" borderId="14" xfId="0" applyFont="1" applyFill="1" applyBorder="1" applyAlignment="1">
      <alignment horizontal="center" vertical="center" wrapText="1"/>
    </xf>
    <xf numFmtId="0" fontId="31" fillId="26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right" vertical="center" wrapText="1"/>
    </xf>
    <xf numFmtId="0" fontId="30" fillId="0" borderId="11" xfId="0" applyFont="1" applyFill="1" applyBorder="1" applyAlignment="1">
      <alignment horizontal="right" vertical="center" wrapText="1"/>
    </xf>
    <xf numFmtId="0" fontId="30" fillId="25" borderId="14" xfId="0" applyFont="1" applyFill="1" applyBorder="1" applyAlignment="1">
      <alignment horizontal="center" vertical="center" wrapText="1"/>
    </xf>
    <xf numFmtId="0" fontId="43" fillId="26" borderId="22" xfId="0" applyFont="1" applyFill="1" applyBorder="1" applyAlignment="1">
      <alignment horizontal="center" vertic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colors>
    <mruColors>
      <color rgb="FFFFCC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opLeftCell="A14" zoomScale="90" zoomScaleNormal="90" workbookViewId="0">
      <selection activeCell="I12" sqref="I12"/>
    </sheetView>
  </sheetViews>
  <sheetFormatPr defaultRowHeight="12.75"/>
  <cols>
    <col min="1" max="1" width="15.140625" customWidth="1"/>
    <col min="2" max="2" width="6.5703125" style="1" customWidth="1"/>
    <col min="3" max="3" width="15.85546875" customWidth="1"/>
    <col min="4" max="4" width="12.7109375" customWidth="1"/>
    <col min="5" max="5" width="14.140625" style="2" customWidth="1"/>
    <col min="6" max="6" width="10.7109375" customWidth="1"/>
    <col min="7" max="7" width="10.85546875" customWidth="1"/>
    <col min="8" max="8" width="15.28515625" customWidth="1"/>
  </cols>
  <sheetData>
    <row r="1" spans="1:8" ht="46.5" customHeight="1" thickBot="1">
      <c r="A1" s="515" t="s">
        <v>246</v>
      </c>
      <c r="B1" s="515"/>
      <c r="C1" s="515"/>
      <c r="D1" s="515"/>
      <c r="E1" s="515"/>
      <c r="F1" s="515"/>
      <c r="G1" s="515"/>
    </row>
    <row r="2" spans="1:8" ht="26.25" thickBot="1">
      <c r="A2" s="3" t="s">
        <v>0</v>
      </c>
      <c r="B2" s="4"/>
      <c r="C2" s="5" t="s">
        <v>1</v>
      </c>
      <c r="D2" s="6" t="s">
        <v>2</v>
      </c>
      <c r="E2" s="7" t="s">
        <v>3</v>
      </c>
      <c r="F2" s="6" t="s">
        <v>4</v>
      </c>
      <c r="G2" s="8" t="s">
        <v>5</v>
      </c>
    </row>
    <row r="3" spans="1:8" ht="15">
      <c r="A3" s="9" t="s">
        <v>6</v>
      </c>
      <c r="B3" s="10">
        <v>90</v>
      </c>
      <c r="C3" s="11">
        <v>2500000</v>
      </c>
      <c r="D3" s="12">
        <v>0</v>
      </c>
      <c r="E3" s="13">
        <v>0</v>
      </c>
      <c r="F3" s="13">
        <v>0</v>
      </c>
      <c r="G3" s="13"/>
    </row>
    <row r="4" spans="1:8" ht="0.75" customHeight="1" thickBot="1">
      <c r="A4" s="27" t="s">
        <v>7</v>
      </c>
      <c r="B4" s="15">
        <v>90</v>
      </c>
      <c r="C4" s="28">
        <f>C3</f>
        <v>2500000</v>
      </c>
      <c r="D4" s="12">
        <v>0</v>
      </c>
      <c r="E4" s="393">
        <f>B4*C4*5.5%/360</f>
        <v>34375</v>
      </c>
      <c r="F4" s="393">
        <v>0</v>
      </c>
      <c r="G4" s="393">
        <f>E3+E4</f>
        <v>34375</v>
      </c>
    </row>
    <row r="5" spans="1:8" s="2" customFormat="1" ht="15">
      <c r="A5" s="394" t="s">
        <v>8</v>
      </c>
      <c r="B5" s="395">
        <v>90</v>
      </c>
      <c r="C5" s="396">
        <f t="shared" ref="C5:C39" si="0">C4-D4</f>
        <v>2500000</v>
      </c>
      <c r="D5" s="397">
        <v>12500</v>
      </c>
      <c r="E5" s="398">
        <f>B5*C5*0.07/360</f>
        <v>43750.000000000007</v>
      </c>
      <c r="F5" s="398"/>
      <c r="G5" s="398"/>
    </row>
    <row r="6" spans="1:8" ht="15">
      <c r="A6" s="399" t="s">
        <v>9</v>
      </c>
      <c r="B6" s="400">
        <v>90</v>
      </c>
      <c r="C6" s="401">
        <f t="shared" si="0"/>
        <v>2487500</v>
      </c>
      <c r="D6" s="402">
        <v>12500</v>
      </c>
      <c r="E6" s="403">
        <f>B6*C6*0.07/360</f>
        <v>43531.250000000007</v>
      </c>
      <c r="F6" s="403"/>
      <c r="G6" s="403"/>
      <c r="H6" s="14">
        <f>SUM(D5:D8)</f>
        <v>50000</v>
      </c>
    </row>
    <row r="7" spans="1:8" ht="15">
      <c r="A7" s="399" t="s">
        <v>10</v>
      </c>
      <c r="B7" s="400">
        <v>90</v>
      </c>
      <c r="C7" s="401">
        <f t="shared" si="0"/>
        <v>2475000</v>
      </c>
      <c r="D7" s="402">
        <f t="shared" ref="D7:D25" si="1">D6</f>
        <v>12500</v>
      </c>
      <c r="E7" s="403">
        <f t="shared" ref="E7:E40" si="2">B7*C7*0.07/360</f>
        <v>43312.500000000007</v>
      </c>
      <c r="F7" s="403"/>
      <c r="G7" s="403"/>
    </row>
    <row r="8" spans="1:8" ht="15.75" thickBot="1">
      <c r="A8" s="404" t="s">
        <v>11</v>
      </c>
      <c r="B8" s="405">
        <v>90</v>
      </c>
      <c r="C8" s="406">
        <f t="shared" si="0"/>
        <v>2462500</v>
      </c>
      <c r="D8" s="407">
        <f t="shared" si="1"/>
        <v>12500</v>
      </c>
      <c r="E8" s="408">
        <f>B8*C8*0.07/360</f>
        <v>43093.750000000007</v>
      </c>
      <c r="F8" s="408">
        <v>50000</v>
      </c>
      <c r="G8" s="408">
        <v>173688</v>
      </c>
    </row>
    <row r="9" spans="1:8" ht="15">
      <c r="A9" s="394" t="s">
        <v>12</v>
      </c>
      <c r="B9" s="395">
        <v>90</v>
      </c>
      <c r="C9" s="396">
        <f t="shared" si="0"/>
        <v>2450000</v>
      </c>
      <c r="D9" s="397">
        <f t="shared" si="1"/>
        <v>12500</v>
      </c>
      <c r="E9" s="398">
        <f t="shared" si="2"/>
        <v>42875.000000000007</v>
      </c>
      <c r="F9" s="398"/>
      <c r="G9" s="398"/>
    </row>
    <row r="10" spans="1:8" ht="15">
      <c r="A10" s="399" t="s">
        <v>13</v>
      </c>
      <c r="B10" s="400">
        <v>90</v>
      </c>
      <c r="C10" s="401">
        <f t="shared" si="0"/>
        <v>2437500</v>
      </c>
      <c r="D10" s="402">
        <f t="shared" si="1"/>
        <v>12500</v>
      </c>
      <c r="E10" s="403">
        <f t="shared" si="2"/>
        <v>42656.250000000007</v>
      </c>
      <c r="F10" s="403"/>
      <c r="G10" s="403"/>
      <c r="H10" s="14">
        <v>50000</v>
      </c>
    </row>
    <row r="11" spans="1:8" ht="15">
      <c r="A11" s="399" t="s">
        <v>14</v>
      </c>
      <c r="B11" s="400">
        <v>90</v>
      </c>
      <c r="C11" s="401">
        <f t="shared" si="0"/>
        <v>2425000</v>
      </c>
      <c r="D11" s="402">
        <f t="shared" si="1"/>
        <v>12500</v>
      </c>
      <c r="E11" s="403">
        <f t="shared" si="2"/>
        <v>42437.500000000007</v>
      </c>
      <c r="F11" s="403"/>
      <c r="G11" s="403"/>
    </row>
    <row r="12" spans="1:8" ht="15.75" thickBot="1">
      <c r="A12" s="404" t="s">
        <v>15</v>
      </c>
      <c r="B12" s="405">
        <v>90</v>
      </c>
      <c r="C12" s="406">
        <f t="shared" si="0"/>
        <v>2412500</v>
      </c>
      <c r="D12" s="407">
        <f t="shared" si="1"/>
        <v>12500</v>
      </c>
      <c r="E12" s="408">
        <f t="shared" si="2"/>
        <v>42218.750000000007</v>
      </c>
      <c r="F12" s="408">
        <f>SUM(D9:D12)</f>
        <v>50000</v>
      </c>
      <c r="G12" s="408">
        <v>170188</v>
      </c>
    </row>
    <row r="13" spans="1:8" ht="15">
      <c r="A13" s="394" t="s">
        <v>16</v>
      </c>
      <c r="B13" s="395">
        <v>90</v>
      </c>
      <c r="C13" s="396">
        <f t="shared" si="0"/>
        <v>2400000</v>
      </c>
      <c r="D13" s="397">
        <f t="shared" si="1"/>
        <v>12500</v>
      </c>
      <c r="E13" s="398">
        <f t="shared" si="2"/>
        <v>42000.000000000007</v>
      </c>
      <c r="F13" s="398"/>
      <c r="G13" s="398"/>
    </row>
    <row r="14" spans="1:8" ht="15">
      <c r="A14" s="399" t="s">
        <v>17</v>
      </c>
      <c r="B14" s="400">
        <v>90</v>
      </c>
      <c r="C14" s="401">
        <f t="shared" si="0"/>
        <v>2387500</v>
      </c>
      <c r="D14" s="402">
        <f t="shared" si="1"/>
        <v>12500</v>
      </c>
      <c r="E14" s="403">
        <f t="shared" si="2"/>
        <v>41781.250000000007</v>
      </c>
      <c r="F14" s="403"/>
      <c r="G14" s="403"/>
      <c r="H14" s="14">
        <v>50000</v>
      </c>
    </row>
    <row r="15" spans="1:8" ht="15">
      <c r="A15" s="399" t="s">
        <v>18</v>
      </c>
      <c r="B15" s="400">
        <v>90</v>
      </c>
      <c r="C15" s="401">
        <f t="shared" si="0"/>
        <v>2375000</v>
      </c>
      <c r="D15" s="402">
        <f t="shared" si="1"/>
        <v>12500</v>
      </c>
      <c r="E15" s="403">
        <f t="shared" si="2"/>
        <v>41562.500000000007</v>
      </c>
      <c r="F15" s="403"/>
      <c r="G15" s="403"/>
    </row>
    <row r="16" spans="1:8" ht="15.75" thickBot="1">
      <c r="A16" s="404" t="s">
        <v>19</v>
      </c>
      <c r="B16" s="405">
        <v>90</v>
      </c>
      <c r="C16" s="406">
        <f t="shared" si="0"/>
        <v>2362500</v>
      </c>
      <c r="D16" s="407">
        <f t="shared" si="1"/>
        <v>12500</v>
      </c>
      <c r="E16" s="408">
        <f>B16*C16*0.07/360</f>
        <v>41343.750000000007</v>
      </c>
      <c r="F16" s="408">
        <f>SUM(D13:D16)</f>
        <v>50000</v>
      </c>
      <c r="G16" s="408">
        <v>166688</v>
      </c>
    </row>
    <row r="17" spans="1:8" ht="15">
      <c r="A17" s="394" t="s">
        <v>20</v>
      </c>
      <c r="B17" s="395">
        <v>90</v>
      </c>
      <c r="C17" s="396">
        <f t="shared" si="0"/>
        <v>2350000</v>
      </c>
      <c r="D17" s="397">
        <f t="shared" si="1"/>
        <v>12500</v>
      </c>
      <c r="E17" s="398">
        <f t="shared" si="2"/>
        <v>41125.000000000007</v>
      </c>
      <c r="F17" s="398"/>
      <c r="G17" s="398"/>
    </row>
    <row r="18" spans="1:8" ht="15">
      <c r="A18" s="399" t="s">
        <v>21</v>
      </c>
      <c r="B18" s="400">
        <v>90</v>
      </c>
      <c r="C18" s="401">
        <f t="shared" si="0"/>
        <v>2337500</v>
      </c>
      <c r="D18" s="402">
        <f t="shared" si="1"/>
        <v>12500</v>
      </c>
      <c r="E18" s="403">
        <f t="shared" si="2"/>
        <v>40906.250000000007</v>
      </c>
      <c r="F18" s="403"/>
      <c r="G18" s="403"/>
      <c r="H18" s="14">
        <v>50000</v>
      </c>
    </row>
    <row r="19" spans="1:8" s="17" customFormat="1" ht="15">
      <c r="A19" s="409" t="s">
        <v>22</v>
      </c>
      <c r="B19" s="410">
        <v>90</v>
      </c>
      <c r="C19" s="401">
        <f t="shared" si="0"/>
        <v>2325000</v>
      </c>
      <c r="D19" s="402">
        <f t="shared" si="1"/>
        <v>12500</v>
      </c>
      <c r="E19" s="403">
        <f t="shared" si="2"/>
        <v>40687.500000000007</v>
      </c>
      <c r="F19" s="411"/>
      <c r="G19" s="411"/>
      <c r="H19" s="16"/>
    </row>
    <row r="20" spans="1:8" s="17" customFormat="1" ht="15.75" thickBot="1">
      <c r="A20" s="415" t="s">
        <v>23</v>
      </c>
      <c r="B20" s="416">
        <v>90</v>
      </c>
      <c r="C20" s="417">
        <f t="shared" si="0"/>
        <v>2312500</v>
      </c>
      <c r="D20" s="418">
        <f t="shared" si="1"/>
        <v>12500</v>
      </c>
      <c r="E20" s="419">
        <f t="shared" si="2"/>
        <v>40468.750000000007</v>
      </c>
      <c r="F20" s="420">
        <f>SUM(D17:D20)</f>
        <v>50000</v>
      </c>
      <c r="G20" s="420">
        <v>163188</v>
      </c>
    </row>
    <row r="21" spans="1:8" ht="15">
      <c r="A21" s="394" t="s">
        <v>24</v>
      </c>
      <c r="B21" s="395">
        <v>90</v>
      </c>
      <c r="C21" s="396">
        <f t="shared" si="0"/>
        <v>2300000</v>
      </c>
      <c r="D21" s="397">
        <f t="shared" si="1"/>
        <v>12500</v>
      </c>
      <c r="E21" s="398">
        <f t="shared" si="2"/>
        <v>40250.000000000007</v>
      </c>
      <c r="F21" s="398"/>
      <c r="G21" s="398"/>
    </row>
    <row r="22" spans="1:8" ht="15">
      <c r="A22" s="399" t="s">
        <v>25</v>
      </c>
      <c r="B22" s="400">
        <v>90</v>
      </c>
      <c r="C22" s="401">
        <f t="shared" si="0"/>
        <v>2287500</v>
      </c>
      <c r="D22" s="402">
        <f t="shared" si="1"/>
        <v>12500</v>
      </c>
      <c r="E22" s="403">
        <f t="shared" si="2"/>
        <v>40031.250000000007</v>
      </c>
      <c r="F22" s="403"/>
      <c r="G22" s="403"/>
      <c r="H22" s="14">
        <v>50000</v>
      </c>
    </row>
    <row r="23" spans="1:8" ht="15">
      <c r="A23" s="399" t="s">
        <v>26</v>
      </c>
      <c r="B23" s="400">
        <v>90</v>
      </c>
      <c r="C23" s="401">
        <f t="shared" si="0"/>
        <v>2275000</v>
      </c>
      <c r="D23" s="402">
        <f t="shared" si="1"/>
        <v>12500</v>
      </c>
      <c r="E23" s="403">
        <f t="shared" si="2"/>
        <v>39812.500000000007</v>
      </c>
      <c r="F23" s="403"/>
      <c r="G23" s="403"/>
    </row>
    <row r="24" spans="1:8" ht="15.75" thickBot="1">
      <c r="A24" s="404" t="s">
        <v>27</v>
      </c>
      <c r="B24" s="405">
        <v>90</v>
      </c>
      <c r="C24" s="406">
        <f t="shared" si="0"/>
        <v>2262500</v>
      </c>
      <c r="D24" s="407">
        <f t="shared" si="1"/>
        <v>12500</v>
      </c>
      <c r="E24" s="408">
        <f t="shared" si="2"/>
        <v>39593.750000000007</v>
      </c>
      <c r="F24" s="408">
        <f>SUM(D21:D24)</f>
        <v>50000</v>
      </c>
      <c r="G24" s="408">
        <v>159688</v>
      </c>
    </row>
    <row r="25" spans="1:8" s="17" customFormat="1" ht="15">
      <c r="A25" s="421" t="s">
        <v>28</v>
      </c>
      <c r="B25" s="422">
        <v>90</v>
      </c>
      <c r="C25" s="423">
        <f t="shared" si="0"/>
        <v>2250000</v>
      </c>
      <c r="D25" s="397">
        <f t="shared" si="1"/>
        <v>12500</v>
      </c>
      <c r="E25" s="398">
        <f t="shared" si="2"/>
        <v>39375.000000000007</v>
      </c>
      <c r="F25" s="424"/>
      <c r="G25" s="424"/>
    </row>
    <row r="26" spans="1:8" s="17" customFormat="1" ht="15">
      <c r="A26" s="409" t="s">
        <v>29</v>
      </c>
      <c r="B26" s="410">
        <v>90</v>
      </c>
      <c r="C26" s="425">
        <f t="shared" si="0"/>
        <v>2237500</v>
      </c>
      <c r="D26" s="402"/>
      <c r="E26" s="403">
        <f t="shared" si="2"/>
        <v>39156.250000000007</v>
      </c>
      <c r="F26" s="411"/>
      <c r="G26" s="411"/>
      <c r="H26" s="18">
        <f>SUM(D25:D28)</f>
        <v>25000</v>
      </c>
    </row>
    <row r="27" spans="1:8" s="17" customFormat="1" ht="15">
      <c r="A27" s="409" t="s">
        <v>30</v>
      </c>
      <c r="B27" s="410">
        <v>90</v>
      </c>
      <c r="C27" s="425">
        <f t="shared" si="0"/>
        <v>2237500</v>
      </c>
      <c r="D27" s="402">
        <v>12500</v>
      </c>
      <c r="E27" s="403">
        <f t="shared" si="2"/>
        <v>39156.250000000007</v>
      </c>
      <c r="F27" s="411"/>
      <c r="G27" s="411"/>
    </row>
    <row r="28" spans="1:8" s="17" customFormat="1" ht="15.75" thickBot="1">
      <c r="A28" s="412" t="s">
        <v>31</v>
      </c>
      <c r="B28" s="413">
        <v>90</v>
      </c>
      <c r="C28" s="426">
        <f t="shared" si="0"/>
        <v>2225000</v>
      </c>
      <c r="D28" s="407"/>
      <c r="E28" s="408">
        <f t="shared" si="2"/>
        <v>38937.500000000007</v>
      </c>
      <c r="F28" s="414">
        <f>SUM(D25:D28)</f>
        <v>25000</v>
      </c>
      <c r="G28" s="414">
        <f>SUM(E25:E28)</f>
        <v>156625.00000000003</v>
      </c>
    </row>
    <row r="29" spans="1:8" ht="15">
      <c r="A29" s="394" t="s">
        <v>32</v>
      </c>
      <c r="B29" s="395">
        <v>90</v>
      </c>
      <c r="C29" s="396">
        <f t="shared" si="0"/>
        <v>2225000</v>
      </c>
      <c r="D29" s="397">
        <v>12500</v>
      </c>
      <c r="E29" s="398">
        <f t="shared" si="2"/>
        <v>38937.500000000007</v>
      </c>
      <c r="F29" s="398"/>
      <c r="G29" s="398"/>
      <c r="H29" s="392">
        <f>C29/12</f>
        <v>185416.66666666666</v>
      </c>
    </row>
    <row r="30" spans="1:8" ht="15">
      <c r="A30" s="399" t="s">
        <v>33</v>
      </c>
      <c r="B30" s="400">
        <v>90</v>
      </c>
      <c r="C30" s="401">
        <f t="shared" si="0"/>
        <v>2212500</v>
      </c>
      <c r="D30" s="402">
        <v>12500</v>
      </c>
      <c r="E30" s="403">
        <f t="shared" si="2"/>
        <v>38718.750000000007</v>
      </c>
      <c r="F30" s="403"/>
      <c r="G30" s="403"/>
      <c r="H30" s="14">
        <f>SUM(D29:D32)</f>
        <v>50528</v>
      </c>
    </row>
    <row r="31" spans="1:8" ht="15">
      <c r="A31" s="399" t="s">
        <v>34</v>
      </c>
      <c r="B31" s="400">
        <v>90</v>
      </c>
      <c r="C31" s="401">
        <f t="shared" si="0"/>
        <v>2200000</v>
      </c>
      <c r="D31" s="402">
        <v>13028</v>
      </c>
      <c r="E31" s="403">
        <f t="shared" si="2"/>
        <v>38500.000000000007</v>
      </c>
      <c r="F31" s="403"/>
      <c r="G31" s="403"/>
    </row>
    <row r="32" spans="1:8" ht="15.75" thickBot="1">
      <c r="A32" s="404" t="s">
        <v>35</v>
      </c>
      <c r="B32" s="405">
        <v>90</v>
      </c>
      <c r="C32" s="406">
        <f t="shared" si="0"/>
        <v>2186972</v>
      </c>
      <c r="D32" s="407">
        <v>12500</v>
      </c>
      <c r="E32" s="408">
        <f t="shared" si="2"/>
        <v>38272.01</v>
      </c>
      <c r="F32" s="408">
        <f>SUM(D29:D32)</f>
        <v>50528</v>
      </c>
      <c r="G32" s="408">
        <f>SUM(E29:E32)</f>
        <v>154428.26000000004</v>
      </c>
    </row>
    <row r="33" spans="1:8" s="17" customFormat="1" ht="15">
      <c r="A33" s="421" t="s">
        <v>36</v>
      </c>
      <c r="B33" s="422">
        <v>90</v>
      </c>
      <c r="C33" s="423">
        <f t="shared" si="0"/>
        <v>2174472</v>
      </c>
      <c r="D33" s="427">
        <v>150000</v>
      </c>
      <c r="E33" s="424">
        <f t="shared" si="2"/>
        <v>38053.26</v>
      </c>
      <c r="F33" s="424"/>
      <c r="G33" s="424"/>
    </row>
    <row r="34" spans="1:8" s="17" customFormat="1" ht="15">
      <c r="A34" s="409" t="s">
        <v>37</v>
      </c>
      <c r="B34" s="410">
        <v>90</v>
      </c>
      <c r="C34" s="425">
        <f t="shared" si="0"/>
        <v>2024472</v>
      </c>
      <c r="D34" s="428">
        <f>D33</f>
        <v>150000</v>
      </c>
      <c r="E34" s="411">
        <f t="shared" si="2"/>
        <v>35428.26</v>
      </c>
      <c r="F34" s="411"/>
      <c r="G34" s="411"/>
      <c r="H34" s="18">
        <f>SUM(D33:D36)</f>
        <v>750523</v>
      </c>
    </row>
    <row r="35" spans="1:8" s="17" customFormat="1" ht="15">
      <c r="A35" s="409" t="s">
        <v>38</v>
      </c>
      <c r="B35" s="410">
        <v>90</v>
      </c>
      <c r="C35" s="425">
        <f t="shared" si="0"/>
        <v>1874472</v>
      </c>
      <c r="D35" s="428">
        <v>225000</v>
      </c>
      <c r="E35" s="411">
        <f t="shared" si="2"/>
        <v>32803.26</v>
      </c>
      <c r="F35" s="411"/>
      <c r="G35" s="411"/>
    </row>
    <row r="36" spans="1:8" s="17" customFormat="1" ht="15.75" thickBot="1">
      <c r="A36" s="415" t="s">
        <v>39</v>
      </c>
      <c r="B36" s="416">
        <v>90</v>
      </c>
      <c r="C36" s="430">
        <f t="shared" si="0"/>
        <v>1649472</v>
      </c>
      <c r="D36" s="431">
        <v>225523</v>
      </c>
      <c r="E36" s="420">
        <f t="shared" si="2"/>
        <v>28865.760000000006</v>
      </c>
      <c r="F36" s="420">
        <f>SUM(D33:D36)</f>
        <v>750523</v>
      </c>
      <c r="G36" s="420">
        <f>SUM(E33:E36)</f>
        <v>135150.54</v>
      </c>
    </row>
    <row r="37" spans="1:8" ht="15">
      <c r="A37" s="394" t="s">
        <v>40</v>
      </c>
      <c r="B37" s="395">
        <v>90</v>
      </c>
      <c r="C37" s="396">
        <f t="shared" si="0"/>
        <v>1423949</v>
      </c>
      <c r="D37" s="427">
        <v>250000</v>
      </c>
      <c r="E37" s="398">
        <f>B37*C37*0.07/360</f>
        <v>24919.107500000002</v>
      </c>
      <c r="F37" s="398"/>
      <c r="G37" s="398"/>
    </row>
    <row r="38" spans="1:8" ht="15">
      <c r="A38" s="399" t="s">
        <v>41</v>
      </c>
      <c r="B38" s="400">
        <v>90</v>
      </c>
      <c r="C38" s="401">
        <f t="shared" si="0"/>
        <v>1173949</v>
      </c>
      <c r="D38" s="428">
        <v>250000</v>
      </c>
      <c r="E38" s="403">
        <f t="shared" si="2"/>
        <v>20544.107500000002</v>
      </c>
      <c r="F38" s="403"/>
      <c r="G38" s="403"/>
      <c r="H38" s="14">
        <f>SUM(D37:D40)</f>
        <v>1000000</v>
      </c>
    </row>
    <row r="39" spans="1:8" ht="15">
      <c r="A39" s="399" t="s">
        <v>42</v>
      </c>
      <c r="B39" s="400">
        <v>90</v>
      </c>
      <c r="C39" s="401">
        <f t="shared" si="0"/>
        <v>923949</v>
      </c>
      <c r="D39" s="428">
        <v>250000</v>
      </c>
      <c r="E39" s="403">
        <f t="shared" si="2"/>
        <v>16169.1075</v>
      </c>
      <c r="F39" s="403"/>
      <c r="G39" s="403"/>
    </row>
    <row r="40" spans="1:8" ht="15.75" thickBot="1">
      <c r="A40" s="404" t="s">
        <v>43</v>
      </c>
      <c r="B40" s="405">
        <v>90</v>
      </c>
      <c r="C40" s="406">
        <f>C39-D39</f>
        <v>673949</v>
      </c>
      <c r="D40" s="429">
        <f>D39</f>
        <v>250000</v>
      </c>
      <c r="E40" s="408">
        <f t="shared" si="2"/>
        <v>11794.1075</v>
      </c>
      <c r="F40" s="408">
        <f>SUM(D37:D40)</f>
        <v>1000000</v>
      </c>
      <c r="G40" s="408">
        <f>SUM(E37:E40)</f>
        <v>73426.430000000008</v>
      </c>
    </row>
    <row r="41" spans="1:8" ht="15">
      <c r="A41" s="394" t="s">
        <v>44</v>
      </c>
      <c r="B41" s="395">
        <v>90</v>
      </c>
      <c r="C41" s="396">
        <f>C40-D40</f>
        <v>423949</v>
      </c>
      <c r="D41" s="427">
        <v>100000</v>
      </c>
      <c r="E41" s="398">
        <f>B41*C41*0.07/360</f>
        <v>7419.1075000000001</v>
      </c>
      <c r="F41" s="398"/>
      <c r="G41" s="398"/>
    </row>
    <row r="42" spans="1:8" ht="15">
      <c r="A42" s="399" t="s">
        <v>45</v>
      </c>
      <c r="B42" s="400">
        <v>90</v>
      </c>
      <c r="C42" s="401">
        <f>C41-D41</f>
        <v>323949</v>
      </c>
      <c r="D42" s="428">
        <v>100000</v>
      </c>
      <c r="E42" s="403">
        <f>B42*C42*0.07/360</f>
        <v>5669.1075000000001</v>
      </c>
      <c r="F42" s="403"/>
      <c r="G42" s="403"/>
      <c r="H42" s="14">
        <f>SUM(D41:D44)</f>
        <v>423949</v>
      </c>
    </row>
    <row r="43" spans="1:8" ht="15">
      <c r="A43" s="399" t="s">
        <v>46</v>
      </c>
      <c r="B43" s="400">
        <v>90</v>
      </c>
      <c r="C43" s="401">
        <f>C42-D42</f>
        <v>223949</v>
      </c>
      <c r="D43" s="428">
        <v>123949</v>
      </c>
      <c r="E43" s="403">
        <f>B43*C43*0.07/360</f>
        <v>3919.1075000000005</v>
      </c>
      <c r="F43" s="403"/>
      <c r="G43" s="403"/>
    </row>
    <row r="44" spans="1:8" ht="15.75" thickBot="1">
      <c r="A44" s="404" t="s">
        <v>47</v>
      </c>
      <c r="B44" s="405">
        <v>90</v>
      </c>
      <c r="C44" s="406">
        <f>C43-D43</f>
        <v>100000</v>
      </c>
      <c r="D44" s="429">
        <v>100000</v>
      </c>
      <c r="E44" s="408">
        <f>B44*C44*0.07/360</f>
        <v>1750.0000000000002</v>
      </c>
      <c r="F44" s="408">
        <f>SUM(D41:D44)</f>
        <v>423949</v>
      </c>
      <c r="G44" s="408">
        <f>SUM(E41:E44)</f>
        <v>18757.322500000002</v>
      </c>
    </row>
    <row r="45" spans="1:8">
      <c r="D45" s="14">
        <f>SUM(D5:D44)</f>
        <v>2500000</v>
      </c>
      <c r="F45" s="14">
        <f>SUM(F8+F12+F16+F20+F24++F28+F32+F36+F40+F44)</f>
        <v>2500000</v>
      </c>
    </row>
    <row r="46" spans="1:8">
      <c r="F46" s="14">
        <f>F45-C3</f>
        <v>0</v>
      </c>
      <c r="H46" s="14">
        <f>SUM(H42,H38,H34,H30,H26,H22,H14,H10,H6,H18)</f>
        <v>2500000</v>
      </c>
    </row>
  </sheetData>
  <mergeCells count="1">
    <mergeCell ref="A1:G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topLeftCell="A16" zoomScale="90" zoomScaleNormal="90" workbookViewId="0">
      <selection activeCell="F47" sqref="F47:K47"/>
    </sheetView>
  </sheetViews>
  <sheetFormatPr defaultRowHeight="12.75"/>
  <cols>
    <col min="1" max="1" width="15.140625" customWidth="1"/>
    <col min="2" max="2" width="6.5703125" style="1" customWidth="1"/>
    <col min="3" max="3" width="15.85546875" customWidth="1"/>
    <col min="4" max="4" width="11.28515625" customWidth="1"/>
    <col min="5" max="5" width="12.28515625" style="2" customWidth="1"/>
    <col min="6" max="6" width="10.7109375" customWidth="1"/>
    <col min="7" max="7" width="10.85546875" customWidth="1"/>
    <col min="8" max="8" width="11" customWidth="1"/>
    <col min="9" max="9" width="10.28515625" customWidth="1"/>
    <col min="10" max="10" width="11" bestFit="1" customWidth="1"/>
    <col min="11" max="11" width="9.85546875" bestFit="1" customWidth="1"/>
  </cols>
  <sheetData>
    <row r="1" spans="1:11" ht="26.25" customHeight="1">
      <c r="A1" s="515" t="s">
        <v>247</v>
      </c>
      <c r="B1" s="515"/>
      <c r="C1" s="515"/>
      <c r="D1" s="515"/>
      <c r="E1" s="515"/>
      <c r="F1" s="515"/>
      <c r="G1" s="522"/>
      <c r="H1" s="518" t="s">
        <v>252</v>
      </c>
      <c r="I1" s="520" t="s">
        <v>251</v>
      </c>
      <c r="J1" s="516" t="s">
        <v>249</v>
      </c>
      <c r="K1" s="517"/>
    </row>
    <row r="2" spans="1:11" ht="24" customHeight="1" thickBot="1">
      <c r="A2" s="523"/>
      <c r="B2" s="523"/>
      <c r="C2" s="523"/>
      <c r="D2" s="523"/>
      <c r="E2" s="523"/>
      <c r="F2" s="523"/>
      <c r="G2" s="524"/>
      <c r="H2" s="519"/>
      <c r="I2" s="521"/>
      <c r="J2" s="471" t="s">
        <v>253</v>
      </c>
      <c r="K2" s="472" t="s">
        <v>3</v>
      </c>
    </row>
    <row r="3" spans="1:11" ht="21.75" customHeight="1" thickBot="1">
      <c r="A3" s="3" t="s">
        <v>0</v>
      </c>
      <c r="B3" s="4"/>
      <c r="C3" s="5" t="s">
        <v>1</v>
      </c>
      <c r="D3" s="6" t="s">
        <v>2</v>
      </c>
      <c r="E3" s="7" t="s">
        <v>3</v>
      </c>
      <c r="F3" s="6" t="s">
        <v>4</v>
      </c>
      <c r="G3" s="432" t="s">
        <v>5</v>
      </c>
      <c r="H3" s="442"/>
      <c r="I3" s="442"/>
      <c r="J3" s="473"/>
      <c r="K3" s="473"/>
    </row>
    <row r="4" spans="1:11" ht="15">
      <c r="A4" s="9" t="s">
        <v>6</v>
      </c>
      <c r="B4" s="10">
        <v>90</v>
      </c>
      <c r="C4" s="11">
        <v>11500000</v>
      </c>
      <c r="D4" s="12"/>
      <c r="E4" s="13">
        <v>0</v>
      </c>
      <c r="F4" s="13">
        <v>0</v>
      </c>
      <c r="G4" s="433"/>
      <c r="H4" s="443">
        <v>2000000</v>
      </c>
      <c r="I4" s="443">
        <v>1265000</v>
      </c>
      <c r="J4" s="463">
        <f>H4+F4</f>
        <v>2000000</v>
      </c>
      <c r="K4" s="463">
        <f>I4</f>
        <v>1265000</v>
      </c>
    </row>
    <row r="5" spans="1:11" ht="0.75" customHeight="1" thickBot="1">
      <c r="A5" s="27" t="s">
        <v>7</v>
      </c>
      <c r="B5" s="15">
        <v>90</v>
      </c>
      <c r="C5" s="28">
        <f>C4</f>
        <v>11500000</v>
      </c>
      <c r="D5" s="12"/>
      <c r="E5" s="393">
        <f>B5*C5*5.5%/360</f>
        <v>158125</v>
      </c>
      <c r="F5" s="393">
        <v>0</v>
      </c>
      <c r="G5" s="434">
        <f>E4+E5</f>
        <v>158125</v>
      </c>
      <c r="H5" s="442"/>
      <c r="I5" s="442"/>
      <c r="J5" s="473"/>
      <c r="K5" s="473"/>
    </row>
    <row r="6" spans="1:11" s="2" customFormat="1" ht="15">
      <c r="A6" s="394" t="s">
        <v>8</v>
      </c>
      <c r="B6" s="395">
        <v>90</v>
      </c>
      <c r="C6" s="396">
        <f t="shared" ref="C6:C40" si="0">C5-D5</f>
        <v>11500000</v>
      </c>
      <c r="D6" s="397"/>
      <c r="E6" s="398">
        <f>B6*C6*0.07/360</f>
        <v>201250</v>
      </c>
      <c r="F6" s="398"/>
      <c r="G6" s="435"/>
      <c r="H6" s="444"/>
      <c r="I6" s="444"/>
      <c r="J6" s="474"/>
      <c r="K6" s="474"/>
    </row>
    <row r="7" spans="1:11" ht="15">
      <c r="A7" s="399" t="s">
        <v>9</v>
      </c>
      <c r="B7" s="400">
        <v>90</v>
      </c>
      <c r="C7" s="401">
        <f t="shared" si="0"/>
        <v>11500000</v>
      </c>
      <c r="D7" s="402"/>
      <c r="E7" s="403">
        <f>B7*C7*0.07/360</f>
        <v>201250</v>
      </c>
      <c r="F7" s="403"/>
      <c r="G7" s="436"/>
      <c r="H7" s="443">
        <f>SUM(D6:D9)</f>
        <v>0</v>
      </c>
      <c r="I7" s="442"/>
      <c r="J7" s="473"/>
      <c r="K7" s="473"/>
    </row>
    <row r="8" spans="1:11" ht="15">
      <c r="A8" s="399" t="s">
        <v>10</v>
      </c>
      <c r="B8" s="400">
        <v>90</v>
      </c>
      <c r="C8" s="401">
        <f t="shared" si="0"/>
        <v>11500000</v>
      </c>
      <c r="D8" s="402"/>
      <c r="E8" s="403">
        <f t="shared" ref="E8:E41" si="1">B8*C8*0.07/360</f>
        <v>201250</v>
      </c>
      <c r="F8" s="403"/>
      <c r="G8" s="436"/>
      <c r="H8" s="442"/>
      <c r="I8" s="442"/>
      <c r="J8" s="473"/>
      <c r="K8" s="473"/>
    </row>
    <row r="9" spans="1:11" ht="15.75" thickBot="1">
      <c r="A9" s="404" t="s">
        <v>11</v>
      </c>
      <c r="B9" s="405">
        <v>90</v>
      </c>
      <c r="C9" s="406">
        <f t="shared" si="0"/>
        <v>11500000</v>
      </c>
      <c r="D9" s="407"/>
      <c r="E9" s="408">
        <f t="shared" si="1"/>
        <v>201250</v>
      </c>
      <c r="F9" s="408">
        <f>D7+D8+D9+D6</f>
        <v>0</v>
      </c>
      <c r="G9" s="437">
        <f>SUM(E6:E9)</f>
        <v>805000</v>
      </c>
      <c r="H9" s="443">
        <v>3000000</v>
      </c>
      <c r="I9" s="443">
        <v>1155000</v>
      </c>
      <c r="J9" s="463">
        <f>H9+F9</f>
        <v>3000000</v>
      </c>
      <c r="K9" s="463">
        <f>I9+G9</f>
        <v>1960000</v>
      </c>
    </row>
    <row r="10" spans="1:11" ht="15">
      <c r="A10" s="394" t="s">
        <v>12</v>
      </c>
      <c r="B10" s="395">
        <v>90</v>
      </c>
      <c r="C10" s="396">
        <f t="shared" si="0"/>
        <v>11500000</v>
      </c>
      <c r="D10" s="397"/>
      <c r="E10" s="398">
        <f t="shared" si="1"/>
        <v>201250</v>
      </c>
      <c r="F10" s="398"/>
      <c r="G10" s="435"/>
      <c r="H10" s="442"/>
      <c r="I10" s="442"/>
      <c r="J10" s="463">
        <f t="shared" ref="J10:J45" si="2">H10+F10</f>
        <v>0</v>
      </c>
      <c r="K10" s="463">
        <f t="shared" ref="K10:K45" si="3">I10+G10</f>
        <v>0</v>
      </c>
    </row>
    <row r="11" spans="1:11" ht="15">
      <c r="A11" s="399" t="s">
        <v>13</v>
      </c>
      <c r="B11" s="400">
        <v>90</v>
      </c>
      <c r="C11" s="401">
        <f t="shared" si="0"/>
        <v>11500000</v>
      </c>
      <c r="D11" s="402"/>
      <c r="E11" s="403">
        <f t="shared" si="1"/>
        <v>201250</v>
      </c>
      <c r="F11" s="403"/>
      <c r="G11" s="436"/>
      <c r="H11" s="443"/>
      <c r="I11" s="442"/>
      <c r="J11" s="463">
        <f t="shared" si="2"/>
        <v>0</v>
      </c>
      <c r="K11" s="463">
        <f t="shared" si="3"/>
        <v>0</v>
      </c>
    </row>
    <row r="12" spans="1:11" ht="15">
      <c r="A12" s="399" t="s">
        <v>14</v>
      </c>
      <c r="B12" s="400">
        <v>90</v>
      </c>
      <c r="C12" s="401">
        <f t="shared" si="0"/>
        <v>11500000</v>
      </c>
      <c r="D12" s="402"/>
      <c r="E12" s="403">
        <f t="shared" si="1"/>
        <v>201250</v>
      </c>
      <c r="F12" s="403"/>
      <c r="G12" s="436"/>
      <c r="H12" s="442"/>
      <c r="I12" s="442"/>
      <c r="J12" s="463">
        <f t="shared" si="2"/>
        <v>0</v>
      </c>
      <c r="K12" s="463">
        <f t="shared" si="3"/>
        <v>0</v>
      </c>
    </row>
    <row r="13" spans="1:11" ht="15.75" thickBot="1">
      <c r="A13" s="404" t="s">
        <v>15</v>
      </c>
      <c r="B13" s="405">
        <v>90</v>
      </c>
      <c r="C13" s="406">
        <f t="shared" si="0"/>
        <v>11500000</v>
      </c>
      <c r="D13" s="407"/>
      <c r="E13" s="408">
        <f t="shared" si="1"/>
        <v>201250</v>
      </c>
      <c r="F13" s="408">
        <f>SUM(D10:D13)</f>
        <v>0</v>
      </c>
      <c r="G13" s="437">
        <f>SUM(E10:E13)</f>
        <v>805000</v>
      </c>
      <c r="H13" s="443">
        <v>3000000</v>
      </c>
      <c r="I13" s="443">
        <v>990000</v>
      </c>
      <c r="J13" s="463">
        <f t="shared" si="2"/>
        <v>3000000</v>
      </c>
      <c r="K13" s="463">
        <f t="shared" si="3"/>
        <v>1795000</v>
      </c>
    </row>
    <row r="14" spans="1:11" ht="15">
      <c r="A14" s="394" t="s">
        <v>16</v>
      </c>
      <c r="B14" s="395">
        <v>90</v>
      </c>
      <c r="C14" s="396">
        <f t="shared" si="0"/>
        <v>11500000</v>
      </c>
      <c r="D14" s="397"/>
      <c r="E14" s="398">
        <f t="shared" si="1"/>
        <v>201250</v>
      </c>
      <c r="F14" s="398"/>
      <c r="G14" s="435"/>
      <c r="H14" s="442"/>
      <c r="I14" s="443"/>
      <c r="J14" s="463">
        <f t="shared" si="2"/>
        <v>0</v>
      </c>
      <c r="K14" s="463">
        <f t="shared" si="3"/>
        <v>0</v>
      </c>
    </row>
    <row r="15" spans="1:11" ht="15">
      <c r="A15" s="399" t="s">
        <v>17</v>
      </c>
      <c r="B15" s="400">
        <v>90</v>
      </c>
      <c r="C15" s="401">
        <f t="shared" si="0"/>
        <v>11500000</v>
      </c>
      <c r="D15" s="402"/>
      <c r="E15" s="403">
        <f t="shared" si="1"/>
        <v>201250</v>
      </c>
      <c r="F15" s="403"/>
      <c r="G15" s="436"/>
      <c r="H15" s="443"/>
      <c r="I15" s="442"/>
      <c r="J15" s="463">
        <f t="shared" si="2"/>
        <v>0</v>
      </c>
      <c r="K15" s="463">
        <f t="shared" si="3"/>
        <v>0</v>
      </c>
    </row>
    <row r="16" spans="1:11" ht="15">
      <c r="A16" s="399" t="s">
        <v>18</v>
      </c>
      <c r="B16" s="400">
        <v>90</v>
      </c>
      <c r="C16" s="401">
        <f t="shared" si="0"/>
        <v>11500000</v>
      </c>
      <c r="D16" s="402"/>
      <c r="E16" s="403">
        <f t="shared" si="1"/>
        <v>201250</v>
      </c>
      <c r="F16" s="403"/>
      <c r="G16" s="436"/>
      <c r="H16" s="442"/>
      <c r="I16" s="442"/>
      <c r="J16" s="463">
        <f t="shared" si="2"/>
        <v>0</v>
      </c>
      <c r="K16" s="463">
        <f t="shared" si="3"/>
        <v>0</v>
      </c>
    </row>
    <row r="17" spans="1:30" ht="15.75" thickBot="1">
      <c r="A17" s="404" t="s">
        <v>19</v>
      </c>
      <c r="B17" s="405">
        <v>90</v>
      </c>
      <c r="C17" s="406">
        <f t="shared" si="0"/>
        <v>11500000</v>
      </c>
      <c r="D17" s="407"/>
      <c r="E17" s="408">
        <f t="shared" si="1"/>
        <v>201250</v>
      </c>
      <c r="F17" s="408">
        <f>SUM(D14:D17)</f>
        <v>0</v>
      </c>
      <c r="G17" s="437">
        <f>SUM(E14:E17)</f>
        <v>805000</v>
      </c>
      <c r="H17" s="443">
        <v>3000000</v>
      </c>
      <c r="I17" s="443">
        <v>825000</v>
      </c>
      <c r="J17" s="463">
        <f t="shared" si="2"/>
        <v>3000000</v>
      </c>
      <c r="K17" s="463">
        <f t="shared" si="3"/>
        <v>1630000</v>
      </c>
    </row>
    <row r="18" spans="1:30" ht="15">
      <c r="A18" s="394" t="s">
        <v>20</v>
      </c>
      <c r="B18" s="395">
        <v>90</v>
      </c>
      <c r="C18" s="396">
        <f t="shared" si="0"/>
        <v>11500000</v>
      </c>
      <c r="D18" s="397"/>
      <c r="E18" s="398">
        <f t="shared" si="1"/>
        <v>201250</v>
      </c>
      <c r="F18" s="398"/>
      <c r="G18" s="435"/>
      <c r="H18" s="442"/>
      <c r="I18" s="442"/>
      <c r="J18" s="463">
        <f t="shared" si="2"/>
        <v>0</v>
      </c>
      <c r="K18" s="463">
        <f t="shared" si="3"/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">
      <c r="A19" s="399" t="s">
        <v>21</v>
      </c>
      <c r="B19" s="400">
        <v>90</v>
      </c>
      <c r="C19" s="401">
        <f t="shared" si="0"/>
        <v>11500000</v>
      </c>
      <c r="D19" s="402"/>
      <c r="E19" s="403">
        <f t="shared" si="1"/>
        <v>201250</v>
      </c>
      <c r="F19" s="403"/>
      <c r="G19" s="436"/>
      <c r="H19" s="443"/>
      <c r="I19" s="442"/>
      <c r="J19" s="463">
        <f t="shared" si="2"/>
        <v>0</v>
      </c>
      <c r="K19" s="463">
        <f t="shared" si="3"/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17" customFormat="1" ht="15">
      <c r="A20" s="409" t="s">
        <v>22</v>
      </c>
      <c r="B20" s="410">
        <v>90</v>
      </c>
      <c r="C20" s="401">
        <f t="shared" si="0"/>
        <v>11500000</v>
      </c>
      <c r="D20" s="402"/>
      <c r="E20" s="403">
        <f t="shared" si="1"/>
        <v>201250</v>
      </c>
      <c r="F20" s="411"/>
      <c r="G20" s="438"/>
      <c r="H20" s="445"/>
      <c r="I20" s="446"/>
      <c r="J20" s="463">
        <f t="shared" si="2"/>
        <v>0</v>
      </c>
      <c r="K20" s="463">
        <f t="shared" si="3"/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7" customFormat="1" ht="15.75" thickBot="1">
      <c r="A21" s="412" t="s">
        <v>23</v>
      </c>
      <c r="B21" s="413">
        <v>90</v>
      </c>
      <c r="C21" s="406">
        <f t="shared" si="0"/>
        <v>11500000</v>
      </c>
      <c r="D21" s="407"/>
      <c r="E21" s="408">
        <f t="shared" si="1"/>
        <v>201250</v>
      </c>
      <c r="F21" s="414">
        <f>SUM(D18:D21)</f>
        <v>0</v>
      </c>
      <c r="G21" s="439">
        <f>SUM(E18:E21)</f>
        <v>805000</v>
      </c>
      <c r="H21" s="443">
        <v>3000000</v>
      </c>
      <c r="I21" s="447">
        <v>660000</v>
      </c>
      <c r="J21" s="463">
        <f t="shared" si="2"/>
        <v>3000000</v>
      </c>
      <c r="K21" s="463">
        <f t="shared" si="3"/>
        <v>1465000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5">
      <c r="A22" s="394" t="s">
        <v>24</v>
      </c>
      <c r="B22" s="395">
        <v>90</v>
      </c>
      <c r="C22" s="396">
        <f t="shared" si="0"/>
        <v>11500000</v>
      </c>
      <c r="D22" s="397"/>
      <c r="E22" s="398">
        <f t="shared" si="1"/>
        <v>201250</v>
      </c>
      <c r="F22" s="398"/>
      <c r="G22" s="435"/>
      <c r="H22" s="442"/>
      <c r="I22" s="442"/>
      <c r="J22" s="463">
        <f t="shared" si="2"/>
        <v>0</v>
      </c>
      <c r="K22" s="463">
        <f t="shared" si="3"/>
        <v>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">
      <c r="A23" s="399" t="s">
        <v>25</v>
      </c>
      <c r="B23" s="400">
        <v>90</v>
      </c>
      <c r="C23" s="401">
        <f t="shared" si="0"/>
        <v>11500000</v>
      </c>
      <c r="D23" s="402"/>
      <c r="E23" s="403">
        <f t="shared" si="1"/>
        <v>201250</v>
      </c>
      <c r="F23" s="403"/>
      <c r="G23" s="436"/>
      <c r="H23" s="443"/>
      <c r="I23" s="442"/>
      <c r="J23" s="463">
        <f t="shared" si="2"/>
        <v>0</v>
      </c>
      <c r="K23" s="463">
        <f t="shared" si="3"/>
        <v>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">
      <c r="A24" s="399" t="s">
        <v>26</v>
      </c>
      <c r="B24" s="400">
        <v>90</v>
      </c>
      <c r="C24" s="401">
        <f t="shared" si="0"/>
        <v>11500000</v>
      </c>
      <c r="D24" s="402"/>
      <c r="E24" s="403">
        <f t="shared" si="1"/>
        <v>201250</v>
      </c>
      <c r="F24" s="403"/>
      <c r="G24" s="436"/>
      <c r="H24" s="442"/>
      <c r="I24" s="442"/>
      <c r="J24" s="463">
        <f t="shared" si="2"/>
        <v>0</v>
      </c>
      <c r="K24" s="463">
        <f t="shared" si="3"/>
        <v>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.75" thickBot="1">
      <c r="A25" s="404" t="s">
        <v>27</v>
      </c>
      <c r="B25" s="405">
        <v>90</v>
      </c>
      <c r="C25" s="406">
        <f t="shared" si="0"/>
        <v>11500000</v>
      </c>
      <c r="D25" s="407"/>
      <c r="E25" s="408">
        <f t="shared" si="1"/>
        <v>201250</v>
      </c>
      <c r="F25" s="408">
        <f>SUM(D22:D25)</f>
        <v>0</v>
      </c>
      <c r="G25" s="437">
        <f>SUM(E22:E25)</f>
        <v>805000</v>
      </c>
      <c r="H25" s="443">
        <v>3000000</v>
      </c>
      <c r="I25" s="443">
        <v>495000</v>
      </c>
      <c r="J25" s="463">
        <f t="shared" si="2"/>
        <v>3000000</v>
      </c>
      <c r="K25" s="463">
        <f t="shared" si="3"/>
        <v>1300000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s="17" customFormat="1" ht="15">
      <c r="A26" s="421" t="s">
        <v>28</v>
      </c>
      <c r="B26" s="422">
        <v>90</v>
      </c>
      <c r="C26" s="423">
        <f t="shared" si="0"/>
        <v>11500000</v>
      </c>
      <c r="D26" s="397"/>
      <c r="E26" s="398">
        <f t="shared" si="1"/>
        <v>201250</v>
      </c>
      <c r="F26" s="424"/>
      <c r="G26" s="440"/>
      <c r="H26" s="446"/>
      <c r="I26" s="446"/>
      <c r="J26" s="463">
        <f t="shared" si="2"/>
        <v>0</v>
      </c>
      <c r="K26" s="463">
        <f t="shared" si="3"/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17" customFormat="1" ht="15">
      <c r="A27" s="409" t="s">
        <v>29</v>
      </c>
      <c r="B27" s="410">
        <v>90</v>
      </c>
      <c r="C27" s="425">
        <f t="shared" si="0"/>
        <v>11500000</v>
      </c>
      <c r="D27" s="402"/>
      <c r="E27" s="403">
        <f t="shared" si="1"/>
        <v>201250</v>
      </c>
      <c r="F27" s="411"/>
      <c r="G27" s="438"/>
      <c r="H27" s="447"/>
      <c r="I27" s="446"/>
      <c r="J27" s="463">
        <f t="shared" si="2"/>
        <v>0</v>
      </c>
      <c r="K27" s="463">
        <f t="shared" si="3"/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17" customFormat="1" ht="15">
      <c r="A28" s="409" t="s">
        <v>30</v>
      </c>
      <c r="B28" s="410">
        <v>90</v>
      </c>
      <c r="C28" s="425">
        <f t="shared" si="0"/>
        <v>11500000</v>
      </c>
      <c r="D28" s="402"/>
      <c r="E28" s="403">
        <f t="shared" si="1"/>
        <v>201250</v>
      </c>
      <c r="F28" s="411"/>
      <c r="G28" s="438"/>
      <c r="H28" s="446"/>
      <c r="I28" s="446"/>
      <c r="J28" s="463">
        <f t="shared" si="2"/>
        <v>0</v>
      </c>
      <c r="K28" s="463">
        <f t="shared" si="3"/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s="17" customFormat="1" ht="15.75" thickBot="1">
      <c r="A29" s="415" t="s">
        <v>31</v>
      </c>
      <c r="B29" s="416">
        <v>90</v>
      </c>
      <c r="C29" s="430">
        <f t="shared" si="0"/>
        <v>11500000</v>
      </c>
      <c r="D29" s="418"/>
      <c r="E29" s="419">
        <f t="shared" si="1"/>
        <v>201250</v>
      </c>
      <c r="F29" s="420">
        <f>SUM(D26:D29)</f>
        <v>0</v>
      </c>
      <c r="G29" s="441">
        <f>SUM(E26:E29)</f>
        <v>805000</v>
      </c>
      <c r="H29" s="443">
        <v>3000000</v>
      </c>
      <c r="I29" s="447">
        <v>360000</v>
      </c>
      <c r="J29" s="463">
        <f t="shared" si="2"/>
        <v>3000000</v>
      </c>
      <c r="K29" s="463">
        <f t="shared" si="3"/>
        <v>1165000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5">
      <c r="A30" s="394" t="s">
        <v>32</v>
      </c>
      <c r="B30" s="395">
        <v>90</v>
      </c>
      <c r="C30" s="396">
        <f t="shared" si="0"/>
        <v>11500000</v>
      </c>
      <c r="D30" s="397">
        <v>500000</v>
      </c>
      <c r="E30" s="398">
        <f t="shared" si="1"/>
        <v>201250</v>
      </c>
      <c r="F30" s="398"/>
      <c r="G30" s="435"/>
      <c r="H30" s="448"/>
      <c r="I30" s="442"/>
      <c r="J30" s="463">
        <f t="shared" si="2"/>
        <v>0</v>
      </c>
      <c r="K30" s="463">
        <f t="shared" si="3"/>
        <v>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5">
      <c r="A31" s="399" t="s">
        <v>33</v>
      </c>
      <c r="B31" s="400">
        <v>90</v>
      </c>
      <c r="C31" s="401">
        <f t="shared" si="0"/>
        <v>11000000</v>
      </c>
      <c r="D31" s="402">
        <v>500000</v>
      </c>
      <c r="E31" s="403">
        <f t="shared" si="1"/>
        <v>192500</v>
      </c>
      <c r="F31" s="403"/>
      <c r="G31" s="436"/>
      <c r="H31" s="443"/>
      <c r="I31" s="442"/>
      <c r="J31" s="463">
        <f t="shared" si="2"/>
        <v>0</v>
      </c>
      <c r="K31" s="463">
        <f t="shared" si="3"/>
        <v>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5">
      <c r="A32" s="399" t="s">
        <v>34</v>
      </c>
      <c r="B32" s="400">
        <v>90</v>
      </c>
      <c r="C32" s="401">
        <f t="shared" si="0"/>
        <v>10500000</v>
      </c>
      <c r="D32" s="402">
        <v>500000</v>
      </c>
      <c r="E32" s="403">
        <f t="shared" si="1"/>
        <v>183750.00000000003</v>
      </c>
      <c r="F32" s="403"/>
      <c r="G32" s="436"/>
      <c r="H32" s="442"/>
      <c r="I32" s="442"/>
      <c r="J32" s="463">
        <f t="shared" si="2"/>
        <v>0</v>
      </c>
      <c r="K32" s="463">
        <f t="shared" si="3"/>
        <v>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5.75" thickBot="1">
      <c r="A33" s="404" t="s">
        <v>35</v>
      </c>
      <c r="B33" s="405">
        <v>90</v>
      </c>
      <c r="C33" s="406">
        <f t="shared" si="0"/>
        <v>10000000</v>
      </c>
      <c r="D33" s="407">
        <v>500000</v>
      </c>
      <c r="E33" s="408">
        <f t="shared" si="1"/>
        <v>175000.00000000003</v>
      </c>
      <c r="F33" s="408">
        <f>SUM(D30:D33)</f>
        <v>2000000</v>
      </c>
      <c r="G33" s="437">
        <f>SUM(E30:E33)</f>
        <v>752500</v>
      </c>
      <c r="H33" s="443">
        <v>3000000</v>
      </c>
      <c r="I33" s="443">
        <v>180000</v>
      </c>
      <c r="J33" s="463">
        <f t="shared" si="2"/>
        <v>5000000</v>
      </c>
      <c r="K33" s="463">
        <f t="shared" si="3"/>
        <v>932500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s="17" customFormat="1" ht="15">
      <c r="A34" s="421" t="s">
        <v>36</v>
      </c>
      <c r="B34" s="422">
        <v>90</v>
      </c>
      <c r="C34" s="423">
        <f t="shared" si="0"/>
        <v>9500000</v>
      </c>
      <c r="D34" s="427">
        <f>D33</f>
        <v>500000</v>
      </c>
      <c r="E34" s="424">
        <f t="shared" si="1"/>
        <v>166250.00000000003</v>
      </c>
      <c r="F34" s="424"/>
      <c r="G34" s="440"/>
      <c r="H34" s="446"/>
      <c r="I34" s="446"/>
      <c r="J34" s="463">
        <f t="shared" si="2"/>
        <v>0</v>
      </c>
      <c r="K34" s="463">
        <f t="shared" si="3"/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s="17" customFormat="1" ht="15">
      <c r="A35" s="409" t="s">
        <v>37</v>
      </c>
      <c r="B35" s="410">
        <v>90</v>
      </c>
      <c r="C35" s="425">
        <f t="shared" si="0"/>
        <v>9000000</v>
      </c>
      <c r="D35" s="428">
        <f>D34</f>
        <v>500000</v>
      </c>
      <c r="E35" s="411">
        <f t="shared" si="1"/>
        <v>157500.00000000003</v>
      </c>
      <c r="F35" s="411"/>
      <c r="G35" s="438"/>
      <c r="H35" s="447"/>
      <c r="I35" s="446"/>
      <c r="J35" s="463">
        <f t="shared" si="2"/>
        <v>0</v>
      </c>
      <c r="K35" s="463">
        <f t="shared" si="3"/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s="17" customFormat="1" ht="15">
      <c r="A36" s="409" t="s">
        <v>38</v>
      </c>
      <c r="B36" s="410">
        <v>90</v>
      </c>
      <c r="C36" s="425">
        <f t="shared" si="0"/>
        <v>8500000</v>
      </c>
      <c r="D36" s="428">
        <v>750000</v>
      </c>
      <c r="E36" s="411">
        <f t="shared" si="1"/>
        <v>148750.00000000003</v>
      </c>
      <c r="F36" s="411"/>
      <c r="G36" s="438"/>
      <c r="H36" s="446"/>
      <c r="I36" s="446"/>
      <c r="J36" s="463">
        <f t="shared" si="2"/>
        <v>0</v>
      </c>
      <c r="K36" s="463">
        <f t="shared" si="3"/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s="17" customFormat="1" ht="15.75" thickBot="1">
      <c r="A37" s="412" t="s">
        <v>39</v>
      </c>
      <c r="B37" s="413">
        <v>90</v>
      </c>
      <c r="C37" s="426">
        <f t="shared" si="0"/>
        <v>7750000</v>
      </c>
      <c r="D37" s="429">
        <v>950000</v>
      </c>
      <c r="E37" s="414">
        <f t="shared" si="1"/>
        <v>135625.00000000003</v>
      </c>
      <c r="F37" s="414">
        <f>SUM(D34:D37)</f>
        <v>2700000</v>
      </c>
      <c r="G37" s="439">
        <f>SUM(E34:E37)</f>
        <v>608125.00000000012</v>
      </c>
      <c r="H37" s="443"/>
      <c r="I37" s="446"/>
      <c r="J37" s="463">
        <f t="shared" si="2"/>
        <v>2700000</v>
      </c>
      <c r="K37" s="463">
        <f t="shared" si="3"/>
        <v>608125.00000000012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5">
      <c r="A38" s="394" t="s">
        <v>40</v>
      </c>
      <c r="B38" s="395">
        <v>90</v>
      </c>
      <c r="C38" s="396">
        <f t="shared" si="0"/>
        <v>6800000</v>
      </c>
      <c r="D38" s="427">
        <v>500000</v>
      </c>
      <c r="E38" s="398">
        <f>B38*C38*0.07/360</f>
        <v>119000.00000000001</v>
      </c>
      <c r="F38" s="398"/>
      <c r="G38" s="435"/>
      <c r="H38" s="442"/>
      <c r="I38" s="442"/>
      <c r="J38" s="463">
        <f t="shared" si="2"/>
        <v>0</v>
      </c>
      <c r="K38" s="463">
        <f t="shared" si="3"/>
        <v>0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5">
      <c r="A39" s="399" t="s">
        <v>41</v>
      </c>
      <c r="B39" s="400">
        <v>90</v>
      </c>
      <c r="C39" s="401">
        <f t="shared" si="0"/>
        <v>6300000</v>
      </c>
      <c r="D39" s="428">
        <f>D38</f>
        <v>500000</v>
      </c>
      <c r="E39" s="403">
        <f t="shared" si="1"/>
        <v>110250.00000000001</v>
      </c>
      <c r="F39" s="403"/>
      <c r="G39" s="436"/>
      <c r="H39" s="443"/>
      <c r="I39" s="442"/>
      <c r="J39" s="463">
        <f t="shared" si="2"/>
        <v>0</v>
      </c>
      <c r="K39" s="463">
        <f t="shared" si="3"/>
        <v>0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5">
      <c r="A40" s="399" t="s">
        <v>42</v>
      </c>
      <c r="B40" s="400">
        <v>90</v>
      </c>
      <c r="C40" s="401">
        <f t="shared" si="0"/>
        <v>5800000</v>
      </c>
      <c r="D40" s="428">
        <v>750000</v>
      </c>
      <c r="E40" s="403">
        <f t="shared" si="1"/>
        <v>101500</v>
      </c>
      <c r="F40" s="403"/>
      <c r="G40" s="436"/>
      <c r="H40" s="442"/>
      <c r="I40" s="442"/>
      <c r="J40" s="463">
        <f t="shared" si="2"/>
        <v>0</v>
      </c>
      <c r="K40" s="463">
        <f t="shared" si="3"/>
        <v>0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5.75" thickBot="1">
      <c r="A41" s="404" t="s">
        <v>43</v>
      </c>
      <c r="B41" s="405">
        <v>90</v>
      </c>
      <c r="C41" s="406">
        <f>C40-D40</f>
        <v>5050000</v>
      </c>
      <c r="D41" s="429">
        <v>950000</v>
      </c>
      <c r="E41" s="408">
        <f t="shared" si="1"/>
        <v>88375.000000000015</v>
      </c>
      <c r="F41" s="408">
        <f>SUM(D38:D41)</f>
        <v>2700000</v>
      </c>
      <c r="G41" s="437">
        <f>SUM(E38:E41)</f>
        <v>419125</v>
      </c>
      <c r="H41" s="443"/>
      <c r="I41" s="442"/>
      <c r="J41" s="463">
        <f t="shared" si="2"/>
        <v>2700000</v>
      </c>
      <c r="K41" s="463">
        <f t="shared" si="3"/>
        <v>419125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">
      <c r="A42" s="394" t="s">
        <v>44</v>
      </c>
      <c r="B42" s="395">
        <v>90</v>
      </c>
      <c r="C42" s="396">
        <f>C41-D41</f>
        <v>4100000</v>
      </c>
      <c r="D42" s="427">
        <v>1100000</v>
      </c>
      <c r="E42" s="398">
        <f>B42*C42*0.07/360</f>
        <v>71750.000000000015</v>
      </c>
      <c r="F42" s="398"/>
      <c r="G42" s="435"/>
      <c r="H42" s="442"/>
      <c r="I42" s="442"/>
      <c r="J42" s="463">
        <f t="shared" si="2"/>
        <v>0</v>
      </c>
      <c r="K42" s="463">
        <f t="shared" si="3"/>
        <v>0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">
      <c r="A43" s="399" t="s">
        <v>45</v>
      </c>
      <c r="B43" s="400">
        <v>90</v>
      </c>
      <c r="C43" s="401">
        <f>C42-D42</f>
        <v>3000000</v>
      </c>
      <c r="D43" s="428">
        <v>1000000</v>
      </c>
      <c r="E43" s="403">
        <f>B43*C43*0.07/360</f>
        <v>52500</v>
      </c>
      <c r="F43" s="403"/>
      <c r="G43" s="436"/>
      <c r="H43" s="443"/>
      <c r="I43" s="442"/>
      <c r="J43" s="463">
        <f t="shared" si="2"/>
        <v>0</v>
      </c>
      <c r="K43" s="463">
        <f t="shared" si="3"/>
        <v>0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15">
      <c r="A44" s="399" t="s">
        <v>46</v>
      </c>
      <c r="B44" s="400">
        <v>90</v>
      </c>
      <c r="C44" s="401">
        <f>C43-D43</f>
        <v>2000000</v>
      </c>
      <c r="D44" s="428">
        <v>1000000</v>
      </c>
      <c r="E44" s="403">
        <f>B44*C44*0.07/360</f>
        <v>35000.000000000007</v>
      </c>
      <c r="F44" s="403"/>
      <c r="G44" s="436"/>
      <c r="H44" s="442"/>
      <c r="I44" s="442"/>
      <c r="J44" s="463">
        <f t="shared" si="2"/>
        <v>0</v>
      </c>
      <c r="K44" s="463">
        <f t="shared" si="3"/>
        <v>0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thickBot="1">
      <c r="A45" s="404" t="s">
        <v>47</v>
      </c>
      <c r="B45" s="405">
        <v>90</v>
      </c>
      <c r="C45" s="406">
        <f>C44-D44</f>
        <v>1000000</v>
      </c>
      <c r="D45" s="429">
        <v>1000000</v>
      </c>
      <c r="E45" s="408">
        <f>B45*C45*0.07/360</f>
        <v>17500.000000000004</v>
      </c>
      <c r="F45" s="408">
        <f>SUM(D42:D45)</f>
        <v>4100000</v>
      </c>
      <c r="G45" s="437">
        <f>SUM(E42:E45)</f>
        <v>176750.00000000003</v>
      </c>
      <c r="H45" s="442"/>
      <c r="I45" s="442"/>
      <c r="J45" s="463">
        <f t="shared" si="2"/>
        <v>4100000</v>
      </c>
      <c r="K45" s="463">
        <f t="shared" si="3"/>
        <v>176750.00000000003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>
      <c r="D46" s="14">
        <f>SUM(D6:D45)</f>
        <v>11500000</v>
      </c>
      <c r="F46" s="14">
        <f>SUM(F9+F13+F17+F21+F25++F29+F33+F37+F41+F45)</f>
        <v>11500000</v>
      </c>
      <c r="J46" s="475"/>
      <c r="K46" s="475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>
      <c r="F47" s="14"/>
      <c r="H47" s="14"/>
      <c r="J47" s="476"/>
      <c r="K47" s="477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</sheetData>
  <mergeCells count="4">
    <mergeCell ref="J1:K1"/>
    <mergeCell ref="H1:H2"/>
    <mergeCell ref="I1:I2"/>
    <mergeCell ref="A1:G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46"/>
  <sheetViews>
    <sheetView zoomScale="90" zoomScaleNormal="90" workbookViewId="0">
      <selection activeCell="J4" sqref="J4"/>
    </sheetView>
  </sheetViews>
  <sheetFormatPr defaultRowHeight="12.75"/>
  <cols>
    <col min="1" max="1" width="13.140625" customWidth="1"/>
    <col min="2" max="2" width="5.42578125" style="1" customWidth="1"/>
    <col min="3" max="3" width="14.28515625" customWidth="1"/>
    <col min="4" max="4" width="11.42578125" customWidth="1"/>
    <col min="5" max="5" width="10.140625" style="2" customWidth="1"/>
    <col min="6" max="6" width="11.42578125" customWidth="1"/>
    <col min="7" max="7" width="13" customWidth="1"/>
    <col min="8" max="8" width="11" style="19" customWidth="1"/>
    <col min="9" max="9" width="9" style="19" customWidth="1"/>
    <col min="10" max="11" width="10.28515625" style="19" customWidth="1"/>
    <col min="12" max="36" width="9" style="19" customWidth="1"/>
  </cols>
  <sheetData>
    <row r="1" spans="1:36" ht="23.25" customHeight="1">
      <c r="A1" s="515" t="s">
        <v>254</v>
      </c>
      <c r="B1" s="515"/>
      <c r="C1" s="515"/>
      <c r="D1" s="515"/>
      <c r="E1" s="515"/>
      <c r="F1" s="515"/>
      <c r="G1" s="515"/>
    </row>
    <row r="2" spans="1:36" ht="8.25" customHeight="1" thickBot="1">
      <c r="A2" s="20"/>
      <c r="B2" s="21"/>
      <c r="C2" s="22"/>
      <c r="D2" s="22"/>
      <c r="E2" s="22"/>
      <c r="F2" s="22"/>
      <c r="G2" s="22"/>
      <c r="J2" s="525" t="s">
        <v>249</v>
      </c>
      <c r="K2" s="525"/>
    </row>
    <row r="3" spans="1:36" ht="30.75" customHeight="1" thickBot="1">
      <c r="A3" s="3" t="s">
        <v>0</v>
      </c>
      <c r="B3" s="4"/>
      <c r="C3" s="5" t="s">
        <v>1</v>
      </c>
      <c r="D3" s="5" t="s">
        <v>2</v>
      </c>
      <c r="E3" s="23" t="s">
        <v>3</v>
      </c>
      <c r="F3" s="5" t="s">
        <v>4</v>
      </c>
      <c r="G3" s="478" t="s">
        <v>5</v>
      </c>
      <c r="H3" s="489" t="s">
        <v>248</v>
      </c>
      <c r="I3" s="490" t="s">
        <v>3</v>
      </c>
      <c r="J3" s="462" t="s">
        <v>250</v>
      </c>
      <c r="K3" s="462" t="s">
        <v>3</v>
      </c>
    </row>
    <row r="4" spans="1:36" ht="15">
      <c r="A4" s="9" t="s">
        <v>6</v>
      </c>
      <c r="B4" s="10">
        <v>90</v>
      </c>
      <c r="C4" s="11">
        <v>0</v>
      </c>
      <c r="D4" s="24">
        <v>0</v>
      </c>
      <c r="E4" s="25">
        <v>0</v>
      </c>
      <c r="F4" s="25">
        <v>0</v>
      </c>
      <c r="G4" s="479"/>
      <c r="H4" s="491">
        <v>2141585</v>
      </c>
      <c r="I4" s="492">
        <v>733601</v>
      </c>
      <c r="J4" s="463">
        <f>H4+'spł poż'!F8</f>
        <v>2191585</v>
      </c>
      <c r="K4" s="463">
        <f>I4+'spł poż'!G8</f>
        <v>907289</v>
      </c>
    </row>
    <row r="5" spans="1:36" ht="0.75" customHeight="1" thickBot="1">
      <c r="A5" s="27" t="s">
        <v>7</v>
      </c>
      <c r="B5" s="15">
        <v>90</v>
      </c>
      <c r="C5" s="28">
        <f>C4</f>
        <v>0</v>
      </c>
      <c r="D5" s="24">
        <v>0</v>
      </c>
      <c r="E5" s="29">
        <f>B5*C5*5.5%/360</f>
        <v>0</v>
      </c>
      <c r="F5" s="29">
        <v>0</v>
      </c>
      <c r="G5" s="480">
        <f>E4+E5</f>
        <v>0</v>
      </c>
      <c r="H5" s="493"/>
      <c r="I5" s="494"/>
      <c r="J5" s="464"/>
      <c r="K5" s="464"/>
    </row>
    <row r="6" spans="1:36" s="2" customFormat="1" ht="15">
      <c r="A6" s="394" t="s">
        <v>8</v>
      </c>
      <c r="B6" s="395">
        <v>90</v>
      </c>
      <c r="C6" s="396">
        <f>C5-D5</f>
        <v>0</v>
      </c>
      <c r="D6" s="396">
        <v>0</v>
      </c>
      <c r="E6" s="450">
        <f>B6*C6*5.5%/360</f>
        <v>0</v>
      </c>
      <c r="F6" s="450"/>
      <c r="G6" s="481"/>
      <c r="H6" s="495"/>
      <c r="I6" s="496"/>
      <c r="J6" s="465"/>
      <c r="K6" s="46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15">
      <c r="A7" s="399" t="s">
        <v>9</v>
      </c>
      <c r="B7" s="400">
        <v>90</v>
      </c>
      <c r="C7" s="401">
        <f>C6-D6</f>
        <v>0</v>
      </c>
      <c r="D7" s="401">
        <v>0</v>
      </c>
      <c r="E7" s="451">
        <f>B7*C7*5.5%/360</f>
        <v>0</v>
      </c>
      <c r="F7" s="451"/>
      <c r="G7" s="482"/>
      <c r="H7" s="493"/>
      <c r="I7" s="494"/>
      <c r="J7" s="466"/>
      <c r="K7" s="466"/>
    </row>
    <row r="8" spans="1:36" ht="15">
      <c r="A8" s="399" t="s">
        <v>10</v>
      </c>
      <c r="B8" s="400">
        <v>90</v>
      </c>
      <c r="C8" s="401">
        <f>C7-D7</f>
        <v>0</v>
      </c>
      <c r="D8" s="401">
        <v>0</v>
      </c>
      <c r="E8" s="451">
        <f>B8*C8*5.5%/360</f>
        <v>0</v>
      </c>
      <c r="F8" s="451"/>
      <c r="G8" s="482"/>
      <c r="H8" s="493"/>
      <c r="I8" s="494"/>
      <c r="J8" s="466"/>
      <c r="K8" s="466"/>
    </row>
    <row r="9" spans="1:36" ht="15.75" thickBot="1">
      <c r="A9" s="404" t="s">
        <v>11</v>
      </c>
      <c r="B9" s="405">
        <v>90</v>
      </c>
      <c r="C9" s="406"/>
      <c r="D9" s="406">
        <v>0</v>
      </c>
      <c r="E9" s="452"/>
      <c r="F9" s="453">
        <f>D7+D8+D9</f>
        <v>0</v>
      </c>
      <c r="G9" s="483"/>
      <c r="H9" s="497">
        <v>3485040</v>
      </c>
      <c r="I9" s="498">
        <v>697952</v>
      </c>
      <c r="J9" s="467">
        <f>H9+F9+'spł poż'!F8</f>
        <v>3535040</v>
      </c>
      <c r="K9" s="467">
        <f>I9+G9+'spł poż'!G8</f>
        <v>871640</v>
      </c>
    </row>
    <row r="10" spans="1:36" ht="15">
      <c r="A10" s="394" t="s">
        <v>12</v>
      </c>
      <c r="B10" s="395">
        <v>90</v>
      </c>
      <c r="C10" s="396">
        <f>C9-D9</f>
        <v>0</v>
      </c>
      <c r="D10" s="396"/>
      <c r="E10" s="450">
        <f>B10*C10*0.07/360</f>
        <v>0</v>
      </c>
      <c r="F10" s="450"/>
      <c r="G10" s="481"/>
      <c r="H10" s="493"/>
      <c r="I10" s="494"/>
      <c r="J10" s="468">
        <f>H10+F10+'spł poż'!F9</f>
        <v>0</v>
      </c>
      <c r="K10" s="468">
        <f>I10+G10+'spł poż'!G9</f>
        <v>0</v>
      </c>
    </row>
    <row r="11" spans="1:36" ht="15">
      <c r="A11" s="399" t="s">
        <v>13</v>
      </c>
      <c r="B11" s="400">
        <v>90</v>
      </c>
      <c r="C11" s="401">
        <f t="shared" ref="C11:C44" si="0">C10-D10</f>
        <v>0</v>
      </c>
      <c r="D11" s="401"/>
      <c r="E11" s="451">
        <f t="shared" ref="E11:E41" si="1">B11*C11*0.07/360</f>
        <v>0</v>
      </c>
      <c r="F11" s="451"/>
      <c r="G11" s="482"/>
      <c r="H11" s="493"/>
      <c r="I11" s="494"/>
      <c r="J11" s="469">
        <f>H11+F11+'spł poż'!F10</f>
        <v>0</v>
      </c>
      <c r="K11" s="469">
        <f>I11+G11+'spł poż'!G10</f>
        <v>0</v>
      </c>
    </row>
    <row r="12" spans="1:36" ht="15">
      <c r="A12" s="399" t="s">
        <v>14</v>
      </c>
      <c r="B12" s="400">
        <v>90</v>
      </c>
      <c r="C12" s="401">
        <f t="shared" si="0"/>
        <v>0</v>
      </c>
      <c r="D12" s="401"/>
      <c r="E12" s="451">
        <f t="shared" si="1"/>
        <v>0</v>
      </c>
      <c r="F12" s="451"/>
      <c r="G12" s="482"/>
      <c r="H12" s="493"/>
      <c r="I12" s="494"/>
      <c r="J12" s="469">
        <f>H12+F12+'spł poż'!F11</f>
        <v>0</v>
      </c>
      <c r="K12" s="469">
        <f>I12+G12+'spł poż'!G11</f>
        <v>0</v>
      </c>
    </row>
    <row r="13" spans="1:36" ht="15.75" thickBot="1">
      <c r="A13" s="404" t="s">
        <v>15</v>
      </c>
      <c r="B13" s="405">
        <v>90</v>
      </c>
      <c r="C13" s="406">
        <f t="shared" si="0"/>
        <v>0</v>
      </c>
      <c r="D13" s="406"/>
      <c r="E13" s="453">
        <f t="shared" si="1"/>
        <v>0</v>
      </c>
      <c r="F13" s="453">
        <f>SUM(D10:D13)</f>
        <v>0</v>
      </c>
      <c r="G13" s="483">
        <f>SUM(E10:E13)</f>
        <v>0</v>
      </c>
      <c r="H13" s="497">
        <v>3616899</v>
      </c>
      <c r="I13" s="498">
        <v>575506</v>
      </c>
      <c r="J13" s="467">
        <f>H13+F13+'spł poż'!F12</f>
        <v>3666899</v>
      </c>
      <c r="K13" s="467">
        <f>I13+G13+'spł poż'!G12</f>
        <v>745694</v>
      </c>
    </row>
    <row r="14" spans="1:36" ht="15">
      <c r="A14" s="394" t="s">
        <v>16</v>
      </c>
      <c r="B14" s="395">
        <v>90</v>
      </c>
      <c r="C14" s="396">
        <f t="shared" si="0"/>
        <v>0</v>
      </c>
      <c r="D14" s="396"/>
      <c r="E14" s="450">
        <f t="shared" si="1"/>
        <v>0</v>
      </c>
      <c r="F14" s="450"/>
      <c r="G14" s="481"/>
      <c r="H14" s="493"/>
      <c r="I14" s="494"/>
      <c r="J14" s="468">
        <f>H14+F14+'spł poż'!F13</f>
        <v>0</v>
      </c>
      <c r="K14" s="468">
        <f>I14+G14+'spł poż'!G13</f>
        <v>0</v>
      </c>
    </row>
    <row r="15" spans="1:36" ht="15">
      <c r="A15" s="399" t="s">
        <v>17</v>
      </c>
      <c r="B15" s="400">
        <v>90</v>
      </c>
      <c r="C15" s="401">
        <f t="shared" si="0"/>
        <v>0</v>
      </c>
      <c r="D15" s="401"/>
      <c r="E15" s="451">
        <f t="shared" si="1"/>
        <v>0</v>
      </c>
      <c r="F15" s="451"/>
      <c r="G15" s="482"/>
      <c r="H15" s="493"/>
      <c r="I15" s="494"/>
      <c r="J15" s="469">
        <f>H15+F15+'spł poż'!F14</f>
        <v>0</v>
      </c>
      <c r="K15" s="469">
        <f>I15+G15+'spł poż'!G14</f>
        <v>0</v>
      </c>
    </row>
    <row r="16" spans="1:36" ht="15">
      <c r="A16" s="399" t="s">
        <v>18</v>
      </c>
      <c r="B16" s="400">
        <v>90</v>
      </c>
      <c r="C16" s="401">
        <f t="shared" si="0"/>
        <v>0</v>
      </c>
      <c r="D16" s="401"/>
      <c r="E16" s="451">
        <f t="shared" si="1"/>
        <v>0</v>
      </c>
      <c r="F16" s="451"/>
      <c r="G16" s="482"/>
      <c r="H16" s="493"/>
      <c r="I16" s="494"/>
      <c r="J16" s="469">
        <f>H16+F16+'spł poż'!F15</f>
        <v>0</v>
      </c>
      <c r="K16" s="469">
        <f>I16+G16+'spł poż'!G15</f>
        <v>0</v>
      </c>
    </row>
    <row r="17" spans="1:36" ht="15.75" thickBot="1">
      <c r="A17" s="404" t="s">
        <v>19</v>
      </c>
      <c r="B17" s="405">
        <v>90</v>
      </c>
      <c r="C17" s="406">
        <f t="shared" si="0"/>
        <v>0</v>
      </c>
      <c r="D17" s="406"/>
      <c r="E17" s="453">
        <f t="shared" si="1"/>
        <v>0</v>
      </c>
      <c r="F17" s="453">
        <f>SUM(D14:D17)</f>
        <v>0</v>
      </c>
      <c r="G17" s="483">
        <f>SUM(E14:E17)</f>
        <v>0</v>
      </c>
      <c r="H17" s="497">
        <v>3456453</v>
      </c>
      <c r="I17" s="498">
        <v>349963</v>
      </c>
      <c r="J17" s="467">
        <f>H17+F17+'spł poż'!F16</f>
        <v>3506453</v>
      </c>
      <c r="K17" s="467">
        <f>I17+G17+'spł poż'!G16</f>
        <v>516651</v>
      </c>
    </row>
    <row r="18" spans="1:36" ht="15">
      <c r="A18" s="394" t="s">
        <v>20</v>
      </c>
      <c r="B18" s="395">
        <v>90</v>
      </c>
      <c r="C18" s="396">
        <f t="shared" si="0"/>
        <v>0</v>
      </c>
      <c r="D18" s="396">
        <f>D17</f>
        <v>0</v>
      </c>
      <c r="E18" s="450">
        <f t="shared" si="1"/>
        <v>0</v>
      </c>
      <c r="F18" s="450"/>
      <c r="G18" s="481"/>
      <c r="H18" s="493"/>
      <c r="I18" s="494"/>
      <c r="J18" s="468">
        <f>H18+F18+'spł poż'!F17</f>
        <v>0</v>
      </c>
      <c r="K18" s="468">
        <f>I18+G18+'spł poż'!G17</f>
        <v>0</v>
      </c>
    </row>
    <row r="19" spans="1:36" ht="15">
      <c r="A19" s="399" t="s">
        <v>21</v>
      </c>
      <c r="B19" s="400">
        <v>90</v>
      </c>
      <c r="C19" s="401">
        <f t="shared" si="0"/>
        <v>0</v>
      </c>
      <c r="D19" s="401"/>
      <c r="E19" s="451">
        <f t="shared" si="1"/>
        <v>0</v>
      </c>
      <c r="F19" s="451"/>
      <c r="G19" s="482"/>
      <c r="H19" s="493"/>
      <c r="I19" s="494"/>
      <c r="J19" s="469">
        <f>H19+F19+'spł poż'!F18</f>
        <v>0</v>
      </c>
      <c r="K19" s="469">
        <f>I19+G19+'spł poż'!G18</f>
        <v>0</v>
      </c>
    </row>
    <row r="20" spans="1:36" s="17" customFormat="1" ht="15">
      <c r="A20" s="409" t="s">
        <v>22</v>
      </c>
      <c r="B20" s="410">
        <v>90</v>
      </c>
      <c r="C20" s="401">
        <f t="shared" si="0"/>
        <v>0</v>
      </c>
      <c r="D20" s="401"/>
      <c r="E20" s="451">
        <f t="shared" si="1"/>
        <v>0</v>
      </c>
      <c r="F20" s="454"/>
      <c r="G20" s="484"/>
      <c r="H20" s="493"/>
      <c r="I20" s="494"/>
      <c r="J20" s="469">
        <f>H20+F20+'spł poż'!F19</f>
        <v>0</v>
      </c>
      <c r="K20" s="469">
        <f>I20+G20+'spł poż'!G19</f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s="17" customFormat="1" ht="15.75" thickBot="1">
      <c r="A21" s="415" t="s">
        <v>23</v>
      </c>
      <c r="B21" s="416">
        <v>90</v>
      </c>
      <c r="C21" s="417">
        <f t="shared" si="0"/>
        <v>0</v>
      </c>
      <c r="D21" s="430"/>
      <c r="E21" s="456">
        <f t="shared" si="1"/>
        <v>0</v>
      </c>
      <c r="F21" s="457">
        <f>SUM(D18:D21)</f>
        <v>0</v>
      </c>
      <c r="G21" s="485">
        <f>SUM(E18:E21)</f>
        <v>0</v>
      </c>
      <c r="H21" s="497">
        <v>2500000</v>
      </c>
      <c r="I21" s="498">
        <v>258568</v>
      </c>
      <c r="J21" s="470">
        <f>H21+F21+'spł poż'!F20</f>
        <v>2550000</v>
      </c>
      <c r="K21" s="470">
        <f>I21+G21+'spł poż'!G20</f>
        <v>421756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ht="15">
      <c r="A22" s="394" t="s">
        <v>24</v>
      </c>
      <c r="B22" s="395">
        <v>90</v>
      </c>
      <c r="C22" s="396">
        <f t="shared" si="0"/>
        <v>0</v>
      </c>
      <c r="D22" s="423"/>
      <c r="E22" s="450">
        <f t="shared" si="1"/>
        <v>0</v>
      </c>
      <c r="F22" s="450"/>
      <c r="G22" s="481"/>
      <c r="H22" s="493"/>
      <c r="I22" s="494"/>
      <c r="J22" s="468">
        <f>H22+F22+'spł poż'!F21</f>
        <v>0</v>
      </c>
      <c r="K22" s="468">
        <f>I22+G22+'spł poż'!G21</f>
        <v>0</v>
      </c>
    </row>
    <row r="23" spans="1:36" ht="15">
      <c r="A23" s="399" t="s">
        <v>25</v>
      </c>
      <c r="B23" s="400">
        <v>90</v>
      </c>
      <c r="C23" s="401">
        <f t="shared" si="0"/>
        <v>0</v>
      </c>
      <c r="D23" s="425"/>
      <c r="E23" s="451">
        <f t="shared" si="1"/>
        <v>0</v>
      </c>
      <c r="F23" s="451"/>
      <c r="G23" s="482"/>
      <c r="H23" s="493"/>
      <c r="I23" s="494"/>
      <c r="J23" s="469">
        <f>H23+F23+'spł poż'!F22</f>
        <v>0</v>
      </c>
      <c r="K23" s="469">
        <f>I23+G23+'spł poż'!G22</f>
        <v>0</v>
      </c>
    </row>
    <row r="24" spans="1:36" ht="15">
      <c r="A24" s="399" t="s">
        <v>26</v>
      </c>
      <c r="B24" s="400">
        <v>90</v>
      </c>
      <c r="C24" s="401">
        <f t="shared" si="0"/>
        <v>0</v>
      </c>
      <c r="D24" s="401"/>
      <c r="E24" s="451">
        <f t="shared" si="1"/>
        <v>0</v>
      </c>
      <c r="F24" s="451"/>
      <c r="G24" s="482"/>
      <c r="H24" s="493"/>
      <c r="I24" s="494"/>
      <c r="J24" s="469">
        <f>H24+F24+'spł poż'!F23</f>
        <v>0</v>
      </c>
      <c r="K24" s="469">
        <f>I24+G24+'spł poż'!G23</f>
        <v>0</v>
      </c>
    </row>
    <row r="25" spans="1:36" ht="15.75" thickBot="1">
      <c r="A25" s="404" t="s">
        <v>27</v>
      </c>
      <c r="B25" s="405">
        <v>90</v>
      </c>
      <c r="C25" s="406">
        <f t="shared" si="0"/>
        <v>0</v>
      </c>
      <c r="D25" s="406"/>
      <c r="E25" s="453">
        <f t="shared" si="1"/>
        <v>0</v>
      </c>
      <c r="F25" s="453">
        <f>SUM(D22:D25)</f>
        <v>0</v>
      </c>
      <c r="G25" s="483">
        <f>SUM(E22:E25)</f>
        <v>0</v>
      </c>
      <c r="H25" s="497">
        <v>2500000</v>
      </c>
      <c r="I25" s="498">
        <v>171068</v>
      </c>
      <c r="J25" s="467">
        <f>H25+F25+'spł poż'!F24</f>
        <v>2550000</v>
      </c>
      <c r="K25" s="467">
        <f>I25+G25+'spł poż'!G24</f>
        <v>330756</v>
      </c>
    </row>
    <row r="26" spans="1:36" s="17" customFormat="1" ht="15">
      <c r="A26" s="421" t="s">
        <v>28</v>
      </c>
      <c r="B26" s="422">
        <v>90</v>
      </c>
      <c r="C26" s="396">
        <f t="shared" si="0"/>
        <v>0</v>
      </c>
      <c r="D26" s="423"/>
      <c r="E26" s="450">
        <f t="shared" si="1"/>
        <v>0</v>
      </c>
      <c r="F26" s="458"/>
      <c r="G26" s="486"/>
      <c r="H26" s="493"/>
      <c r="I26" s="494"/>
      <c r="J26" s="468">
        <f>H26+F26+'spł poż'!F25</f>
        <v>0</v>
      </c>
      <c r="K26" s="468">
        <f>I26+G26+'spł poż'!G25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5">
      <c r="A27" s="409" t="s">
        <v>29</v>
      </c>
      <c r="B27" s="410">
        <v>90</v>
      </c>
      <c r="C27" s="401">
        <f t="shared" si="0"/>
        <v>0</v>
      </c>
      <c r="D27" s="425"/>
      <c r="E27" s="451">
        <f t="shared" si="1"/>
        <v>0</v>
      </c>
      <c r="F27" s="454"/>
      <c r="G27" s="484"/>
      <c r="H27" s="493"/>
      <c r="I27" s="494"/>
      <c r="J27" s="469">
        <f>H27+F27+'spł poż'!F26</f>
        <v>0</v>
      </c>
      <c r="K27" s="469">
        <f>I27+G27+'spł poż'!G26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5">
      <c r="A28" s="409" t="s">
        <v>30</v>
      </c>
      <c r="B28" s="410">
        <v>90</v>
      </c>
      <c r="C28" s="401">
        <f t="shared" si="0"/>
        <v>0</v>
      </c>
      <c r="D28" s="425"/>
      <c r="E28" s="451">
        <f t="shared" si="1"/>
        <v>0</v>
      </c>
      <c r="F28" s="454"/>
      <c r="G28" s="484"/>
      <c r="H28" s="493"/>
      <c r="I28" s="494"/>
      <c r="J28" s="469">
        <f>H28+F28+'spł poż'!F27</f>
        <v>0</v>
      </c>
      <c r="K28" s="469">
        <f>I28+G28+'spł poż'!G27</f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s="17" customFormat="1" ht="15.75" thickBot="1">
      <c r="A29" s="412" t="s">
        <v>31</v>
      </c>
      <c r="B29" s="413">
        <v>90</v>
      </c>
      <c r="C29" s="406">
        <f t="shared" si="0"/>
        <v>0</v>
      </c>
      <c r="D29" s="426"/>
      <c r="E29" s="453">
        <f t="shared" si="1"/>
        <v>0</v>
      </c>
      <c r="F29" s="455">
        <f>SUM(D26:D29)</f>
        <v>0</v>
      </c>
      <c r="G29" s="487">
        <f>SUM(E26:E29)</f>
        <v>0</v>
      </c>
      <c r="H29" s="497">
        <v>2376170</v>
      </c>
      <c r="I29" s="498">
        <v>83568</v>
      </c>
      <c r="J29" s="467">
        <f>H29+F29+'spł poż'!F28</f>
        <v>2401170</v>
      </c>
      <c r="K29" s="467">
        <f>I29+G29+'spł poż'!G28</f>
        <v>240193.00000000003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36" ht="15">
      <c r="A30" s="394" t="s">
        <v>32</v>
      </c>
      <c r="B30" s="395">
        <v>90</v>
      </c>
      <c r="C30" s="396">
        <f t="shared" si="0"/>
        <v>0</v>
      </c>
      <c r="D30" s="396"/>
      <c r="E30" s="450">
        <f t="shared" si="1"/>
        <v>0</v>
      </c>
      <c r="F30" s="450"/>
      <c r="G30" s="481"/>
      <c r="H30" s="493"/>
      <c r="I30" s="494"/>
      <c r="J30" s="468">
        <f>H30+F30+'spł poż'!F29</f>
        <v>0</v>
      </c>
      <c r="K30" s="468">
        <f>I30+G30+'spł poż'!G29</f>
        <v>0</v>
      </c>
    </row>
    <row r="31" spans="1:36" ht="15">
      <c r="A31" s="399" t="s">
        <v>33</v>
      </c>
      <c r="B31" s="400">
        <v>90</v>
      </c>
      <c r="C31" s="401">
        <f t="shared" si="0"/>
        <v>0</v>
      </c>
      <c r="D31" s="425"/>
      <c r="E31" s="451">
        <f t="shared" si="1"/>
        <v>0</v>
      </c>
      <c r="F31" s="451"/>
      <c r="G31" s="482"/>
      <c r="H31" s="493"/>
      <c r="I31" s="494"/>
      <c r="J31" s="469">
        <f>H31+F31+'spł poż'!F30</f>
        <v>0</v>
      </c>
      <c r="K31" s="469">
        <f>I31+G31+'spł poż'!G30</f>
        <v>0</v>
      </c>
    </row>
    <row r="32" spans="1:36" ht="15">
      <c r="A32" s="399" t="s">
        <v>34</v>
      </c>
      <c r="B32" s="400">
        <v>90</v>
      </c>
      <c r="C32" s="401">
        <f t="shared" si="0"/>
        <v>0</v>
      </c>
      <c r="D32" s="425"/>
      <c r="E32" s="451">
        <f t="shared" si="1"/>
        <v>0</v>
      </c>
      <c r="F32" s="451"/>
      <c r="G32" s="482"/>
      <c r="H32" s="493"/>
      <c r="I32" s="494"/>
      <c r="J32" s="469">
        <f>H32+F32+'spł poż'!F31</f>
        <v>0</v>
      </c>
      <c r="K32" s="469">
        <f>I32+G32+'spł poż'!G31</f>
        <v>0</v>
      </c>
    </row>
    <row r="33" spans="1:36" ht="15.75" thickBot="1">
      <c r="A33" s="459" t="s">
        <v>35</v>
      </c>
      <c r="B33" s="460">
        <v>90</v>
      </c>
      <c r="C33" s="417">
        <f t="shared" si="0"/>
        <v>0</v>
      </c>
      <c r="D33" s="430"/>
      <c r="E33" s="456">
        <f t="shared" si="1"/>
        <v>0</v>
      </c>
      <c r="F33" s="456">
        <f>SUM(D30:D33)</f>
        <v>0</v>
      </c>
      <c r="G33" s="488">
        <f>SUM(E30:E33)</f>
        <v>0</v>
      </c>
      <c r="H33" s="497">
        <v>11500</v>
      </c>
      <c r="I33" s="494">
        <v>403</v>
      </c>
      <c r="J33" s="470">
        <f>H33+F33+'spł poż'!F32</f>
        <v>62028</v>
      </c>
      <c r="K33" s="470">
        <f>I33+G33+'spł poż'!G32</f>
        <v>154831.26000000004</v>
      </c>
    </row>
    <row r="34" spans="1:36" s="17" customFormat="1" ht="15">
      <c r="A34" s="421" t="s">
        <v>36</v>
      </c>
      <c r="B34" s="422">
        <v>90</v>
      </c>
      <c r="C34" s="396">
        <f t="shared" si="0"/>
        <v>0</v>
      </c>
      <c r="D34" s="423"/>
      <c r="E34" s="450">
        <f t="shared" si="1"/>
        <v>0</v>
      </c>
      <c r="F34" s="458"/>
      <c r="G34" s="486"/>
      <c r="H34" s="493"/>
      <c r="I34" s="494"/>
      <c r="J34" s="468">
        <f>H34+F34+'spł poż'!F33</f>
        <v>0</v>
      </c>
      <c r="K34" s="468">
        <f>I34+G34+'spł poż'!G33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5">
      <c r="A35" s="409" t="s">
        <v>37</v>
      </c>
      <c r="B35" s="410">
        <v>90</v>
      </c>
      <c r="C35" s="401">
        <f t="shared" si="0"/>
        <v>0</v>
      </c>
      <c r="D35" s="425">
        <f>D34</f>
        <v>0</v>
      </c>
      <c r="E35" s="451">
        <f t="shared" si="1"/>
        <v>0</v>
      </c>
      <c r="F35" s="454"/>
      <c r="G35" s="484"/>
      <c r="H35" s="493"/>
      <c r="I35" s="494"/>
      <c r="J35" s="469">
        <f>H35+F35+'spł poż'!F34</f>
        <v>0</v>
      </c>
      <c r="K35" s="469">
        <f>I35+G35+'spł poż'!G34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5">
      <c r="A36" s="409" t="s">
        <v>38</v>
      </c>
      <c r="B36" s="410">
        <v>90</v>
      </c>
      <c r="C36" s="401">
        <f t="shared" si="0"/>
        <v>0</v>
      </c>
      <c r="D36" s="425"/>
      <c r="E36" s="451">
        <f t="shared" si="1"/>
        <v>0</v>
      </c>
      <c r="F36" s="454"/>
      <c r="G36" s="484"/>
      <c r="H36" s="493"/>
      <c r="I36" s="494"/>
      <c r="J36" s="469">
        <f>H36+F36+'spł poż'!F35</f>
        <v>0</v>
      </c>
      <c r="K36" s="469">
        <f>I36+G36+'spł poż'!G35</f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s="17" customFormat="1" ht="15.75" thickBot="1">
      <c r="A37" s="412" t="s">
        <v>39</v>
      </c>
      <c r="B37" s="413">
        <v>90</v>
      </c>
      <c r="C37" s="406">
        <f t="shared" si="0"/>
        <v>0</v>
      </c>
      <c r="D37" s="426"/>
      <c r="E37" s="453">
        <f t="shared" si="1"/>
        <v>0</v>
      </c>
      <c r="F37" s="455">
        <f>SUM(D34:D37)</f>
        <v>0</v>
      </c>
      <c r="G37" s="487">
        <f>SUM(E34:E37)</f>
        <v>0</v>
      </c>
      <c r="H37" s="493"/>
      <c r="I37" s="494"/>
      <c r="J37" s="467">
        <f>H37+F37+'spł poż'!F36</f>
        <v>750523</v>
      </c>
      <c r="K37" s="467">
        <f>I37+G37+'spł poż'!G36</f>
        <v>135150.54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36" ht="15">
      <c r="A38" s="394" t="s">
        <v>40</v>
      </c>
      <c r="B38" s="395">
        <v>90</v>
      </c>
      <c r="C38" s="396">
        <f t="shared" si="0"/>
        <v>0</v>
      </c>
      <c r="D38" s="396">
        <f>D37</f>
        <v>0</v>
      </c>
      <c r="E38" s="450">
        <f t="shared" si="1"/>
        <v>0</v>
      </c>
      <c r="F38" s="450"/>
      <c r="G38" s="481"/>
      <c r="H38" s="493"/>
      <c r="I38" s="494"/>
      <c r="J38" s="468">
        <f>H38+F38+'spł poż'!F37</f>
        <v>0</v>
      </c>
      <c r="K38" s="468">
        <f>I38+G38+'spł poż'!G37</f>
        <v>0</v>
      </c>
    </row>
    <row r="39" spans="1:36" ht="15">
      <c r="A39" s="399" t="s">
        <v>41</v>
      </c>
      <c r="B39" s="400">
        <v>90</v>
      </c>
      <c r="C39" s="401">
        <f t="shared" si="0"/>
        <v>0</v>
      </c>
      <c r="D39" s="401">
        <f>D38</f>
        <v>0</v>
      </c>
      <c r="E39" s="451">
        <f t="shared" si="1"/>
        <v>0</v>
      </c>
      <c r="F39" s="451"/>
      <c r="G39" s="482"/>
      <c r="H39" s="493"/>
      <c r="I39" s="494"/>
      <c r="J39" s="469">
        <f>H39+F39+'spł poż'!F38</f>
        <v>0</v>
      </c>
      <c r="K39" s="469">
        <f>I39+G39+'spł poż'!G38</f>
        <v>0</v>
      </c>
    </row>
    <row r="40" spans="1:36" ht="15">
      <c r="A40" s="399" t="s">
        <v>42</v>
      </c>
      <c r="B40" s="400">
        <v>90</v>
      </c>
      <c r="C40" s="401">
        <f t="shared" si="0"/>
        <v>0</v>
      </c>
      <c r="D40" s="401">
        <f>D39</f>
        <v>0</v>
      </c>
      <c r="E40" s="451">
        <f t="shared" si="1"/>
        <v>0</v>
      </c>
      <c r="F40" s="451"/>
      <c r="G40" s="482"/>
      <c r="H40" s="493"/>
      <c r="I40" s="494"/>
      <c r="J40" s="469">
        <f>H40+F40+'spł poż'!F39</f>
        <v>0</v>
      </c>
      <c r="K40" s="469">
        <f>I40+G40+'spł poż'!G39</f>
        <v>0</v>
      </c>
    </row>
    <row r="41" spans="1:36" ht="15.75" thickBot="1">
      <c r="A41" s="404" t="s">
        <v>43</v>
      </c>
      <c r="B41" s="405">
        <v>90</v>
      </c>
      <c r="C41" s="406">
        <f t="shared" si="0"/>
        <v>0</v>
      </c>
      <c r="D41" s="406"/>
      <c r="E41" s="453">
        <f t="shared" si="1"/>
        <v>0</v>
      </c>
      <c r="F41" s="453">
        <f>SUM(D38:D41)</f>
        <v>0</v>
      </c>
      <c r="G41" s="483">
        <f>SUM(E38:E41)</f>
        <v>0</v>
      </c>
      <c r="H41" s="493"/>
      <c r="I41" s="494"/>
      <c r="J41" s="467">
        <f>H41+F41+'spł poż'!F40</f>
        <v>1000000</v>
      </c>
      <c r="K41" s="467">
        <f>I41+G41+'spł poż'!G40</f>
        <v>73426.430000000008</v>
      </c>
    </row>
    <row r="42" spans="1:36" ht="15">
      <c r="A42" s="394" t="s">
        <v>44</v>
      </c>
      <c r="B42" s="395">
        <v>90</v>
      </c>
      <c r="C42" s="396">
        <f t="shared" si="0"/>
        <v>0</v>
      </c>
      <c r="D42" s="396"/>
      <c r="E42" s="450">
        <f>B42*C42*0.07/360</f>
        <v>0</v>
      </c>
      <c r="F42" s="450"/>
      <c r="G42" s="481"/>
      <c r="H42" s="493"/>
      <c r="I42" s="494"/>
      <c r="J42" s="468">
        <f>H42+F42+'spł poż'!F41</f>
        <v>0</v>
      </c>
      <c r="K42" s="468">
        <f>I42+G42+'spł poż'!G41</f>
        <v>0</v>
      </c>
    </row>
    <row r="43" spans="1:36" ht="15">
      <c r="A43" s="399" t="s">
        <v>45</v>
      </c>
      <c r="B43" s="400">
        <v>90</v>
      </c>
      <c r="C43" s="401">
        <f t="shared" si="0"/>
        <v>0</v>
      </c>
      <c r="D43" s="401"/>
      <c r="E43" s="451">
        <f>B43*C43*0.07/360</f>
        <v>0</v>
      </c>
      <c r="F43" s="451"/>
      <c r="G43" s="482"/>
      <c r="H43" s="493"/>
      <c r="I43" s="494"/>
      <c r="J43" s="469">
        <f>H43+F43+'spł poż'!F42</f>
        <v>0</v>
      </c>
      <c r="K43" s="469">
        <f>I43+G43+'spł poż'!G42</f>
        <v>0</v>
      </c>
    </row>
    <row r="44" spans="1:36" ht="15">
      <c r="A44" s="399" t="s">
        <v>46</v>
      </c>
      <c r="B44" s="400">
        <v>90</v>
      </c>
      <c r="C44" s="401">
        <f t="shared" si="0"/>
        <v>0</v>
      </c>
      <c r="D44" s="401"/>
      <c r="E44" s="451">
        <f>B44*C44*0.07/360</f>
        <v>0</v>
      </c>
      <c r="F44" s="451"/>
      <c r="G44" s="482"/>
      <c r="H44" s="493"/>
      <c r="I44" s="494"/>
      <c r="J44" s="469">
        <f>H44+F44+'spł poż'!F43</f>
        <v>0</v>
      </c>
      <c r="K44" s="469">
        <f>I44+G44+'spł poż'!G43</f>
        <v>0</v>
      </c>
    </row>
    <row r="45" spans="1:36" ht="15.75" thickBot="1">
      <c r="A45" s="404" t="s">
        <v>47</v>
      </c>
      <c r="B45" s="405">
        <v>90</v>
      </c>
      <c r="C45" s="406">
        <f>C44-D44</f>
        <v>0</v>
      </c>
      <c r="D45" s="406"/>
      <c r="E45" s="453">
        <f>B45*C45*0.07/360</f>
        <v>0</v>
      </c>
      <c r="F45" s="453">
        <f>SUM(D42:D45)</f>
        <v>0</v>
      </c>
      <c r="G45" s="483">
        <f>SUM(E42:E45)</f>
        <v>0</v>
      </c>
      <c r="H45" s="499"/>
      <c r="I45" s="500"/>
      <c r="J45" s="467">
        <f>H45+F45+'spł poż'!F44</f>
        <v>423949</v>
      </c>
      <c r="K45" s="467">
        <f>I45+G45+'spł poż'!G44</f>
        <v>18757.322500000002</v>
      </c>
    </row>
    <row r="46" spans="1:36">
      <c r="D46" s="14">
        <f>SUM(D10:D45)</f>
        <v>0</v>
      </c>
      <c r="J46" s="461"/>
      <c r="K46" s="461"/>
    </row>
  </sheetData>
  <mergeCells count="2">
    <mergeCell ref="A1:G1"/>
    <mergeCell ref="J2:K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tabSelected="1" view="pageBreakPreview" topLeftCell="A54" zoomScale="75" zoomScaleNormal="90" zoomScaleSheetLayoutView="75" workbookViewId="0">
      <selection activeCell="H67" sqref="H67"/>
    </sheetView>
  </sheetViews>
  <sheetFormatPr defaultColWidth="11.5703125" defaultRowHeight="12.75"/>
  <cols>
    <col min="1" max="1" width="4" customWidth="1"/>
    <col min="2" max="2" width="6.85546875" customWidth="1"/>
    <col min="3" max="3" width="50" style="31" customWidth="1"/>
    <col min="4" max="4" width="14.42578125" style="31" customWidth="1"/>
    <col min="5" max="5" width="14.28515625" customWidth="1"/>
    <col min="6" max="6" width="14.85546875" customWidth="1"/>
    <col min="7" max="7" width="13.42578125" style="31" customWidth="1"/>
    <col min="8" max="8" width="14.5703125" customWidth="1"/>
    <col min="9" max="9" width="14.28515625" customWidth="1"/>
    <col min="10" max="10" width="14.42578125" customWidth="1"/>
    <col min="11" max="12" width="14.28515625" customWidth="1"/>
    <col min="13" max="13" width="15.28515625" customWidth="1"/>
    <col min="14" max="14" width="14.85546875" customWidth="1"/>
    <col min="15" max="15" width="14.7109375" customWidth="1"/>
    <col min="16" max="16" width="14.85546875" customWidth="1"/>
    <col min="17" max="18" width="15.7109375" customWidth="1"/>
  </cols>
  <sheetData>
    <row r="1" spans="1:18" ht="20.100000000000001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  <c r="N1" s="64"/>
      <c r="O1" s="66" t="s">
        <v>48</v>
      </c>
      <c r="P1" s="66"/>
      <c r="Q1" s="67"/>
      <c r="R1" s="67"/>
    </row>
    <row r="2" spans="1:18" ht="3.75" customHeight="1">
      <c r="A2" s="68"/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71"/>
      <c r="P2" s="72"/>
      <c r="Q2" s="69"/>
      <c r="R2" s="69"/>
    </row>
    <row r="3" spans="1:18" ht="12.75" customHeight="1">
      <c r="A3" s="73"/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  <c r="N3" s="74"/>
      <c r="O3" s="76" t="s">
        <v>255</v>
      </c>
      <c r="P3" s="72"/>
      <c r="Q3" s="74"/>
      <c r="R3" s="74"/>
    </row>
    <row r="4" spans="1:18" ht="16.5" customHeight="1">
      <c r="A4" s="73"/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74"/>
      <c r="O4" s="76" t="s">
        <v>49</v>
      </c>
      <c r="P4" s="72"/>
      <c r="Q4" s="74"/>
      <c r="R4" s="74"/>
    </row>
    <row r="5" spans="1:18" ht="12" customHeight="1">
      <c r="A5" s="73"/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5"/>
      <c r="N5" s="74"/>
      <c r="O5" s="76" t="s">
        <v>256</v>
      </c>
      <c r="P5" s="72"/>
      <c r="Q5" s="74"/>
      <c r="R5" s="74"/>
    </row>
    <row r="6" spans="1:18" ht="20.100000000000001" customHeight="1">
      <c r="A6" s="526" t="s">
        <v>241</v>
      </c>
      <c r="B6" s="526"/>
      <c r="C6" s="526" t="s">
        <v>51</v>
      </c>
      <c r="D6" s="526" t="s">
        <v>52</v>
      </c>
      <c r="E6" s="526" t="s">
        <v>50</v>
      </c>
      <c r="F6" s="526" t="s">
        <v>53</v>
      </c>
      <c r="G6" s="526" t="s">
        <v>54</v>
      </c>
      <c r="H6" s="526" t="s">
        <v>55</v>
      </c>
      <c r="I6" s="526" t="s">
        <v>56</v>
      </c>
      <c r="J6" s="526" t="s">
        <v>57</v>
      </c>
      <c r="K6" s="526" t="s">
        <v>58</v>
      </c>
      <c r="L6" s="526" t="s">
        <v>59</v>
      </c>
      <c r="M6" s="526" t="s">
        <v>60</v>
      </c>
      <c r="N6" s="526" t="s">
        <v>61</v>
      </c>
      <c r="O6" s="526" t="s">
        <v>62</v>
      </c>
      <c r="P6" s="77"/>
      <c r="Q6" s="77"/>
      <c r="R6" s="78"/>
    </row>
    <row r="7" spans="1:18" ht="20.100000000000001" customHeight="1">
      <c r="A7" s="526"/>
      <c r="B7" s="526"/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77"/>
      <c r="Q7" s="77"/>
      <c r="R7" s="78"/>
    </row>
    <row r="8" spans="1:18" ht="20.100000000000001" customHeight="1" thickBot="1">
      <c r="A8" s="526"/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79"/>
      <c r="Q8" s="79"/>
      <c r="R8" s="80"/>
    </row>
    <row r="9" spans="1:18" ht="17.100000000000001" customHeight="1" thickBot="1">
      <c r="A9" s="552" t="s">
        <v>63</v>
      </c>
      <c r="B9" s="557" t="s">
        <v>64</v>
      </c>
      <c r="C9" s="558"/>
      <c r="D9" s="527" t="s">
        <v>65</v>
      </c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56"/>
    </row>
    <row r="10" spans="1:18" ht="17.100000000000001" customHeight="1" thickBot="1">
      <c r="A10" s="563"/>
      <c r="B10" s="559"/>
      <c r="C10" s="560"/>
      <c r="D10" s="527" t="s">
        <v>66</v>
      </c>
      <c r="E10" s="528"/>
      <c r="F10" s="528"/>
      <c r="G10" s="556"/>
      <c r="H10" s="527" t="s">
        <v>67</v>
      </c>
      <c r="I10" s="528"/>
      <c r="J10" s="528"/>
      <c r="K10" s="528"/>
      <c r="L10" s="528"/>
      <c r="M10" s="528"/>
      <c r="N10" s="528"/>
      <c r="O10" s="528"/>
      <c r="P10" s="528"/>
      <c r="Q10" s="528"/>
      <c r="R10" s="556"/>
    </row>
    <row r="11" spans="1:18" ht="18" customHeight="1">
      <c r="A11" s="563"/>
      <c r="B11" s="559"/>
      <c r="C11" s="560"/>
      <c r="D11" s="552">
        <v>2007</v>
      </c>
      <c r="E11" s="552">
        <v>2008</v>
      </c>
      <c r="F11" s="568">
        <v>2009</v>
      </c>
      <c r="G11" s="564">
        <v>2010</v>
      </c>
      <c r="H11" s="566">
        <v>2011</v>
      </c>
      <c r="I11" s="552">
        <v>2012</v>
      </c>
      <c r="J11" s="552">
        <v>2013</v>
      </c>
      <c r="K11" s="552">
        <v>2014</v>
      </c>
      <c r="L11" s="552">
        <v>2015</v>
      </c>
      <c r="M11" s="552">
        <v>2016</v>
      </c>
      <c r="N11" s="552">
        <v>2017</v>
      </c>
      <c r="O11" s="552">
        <v>2018</v>
      </c>
      <c r="P11" s="552">
        <v>2019</v>
      </c>
      <c r="Q11" s="552">
        <v>2020</v>
      </c>
      <c r="R11" s="552">
        <v>2021</v>
      </c>
    </row>
    <row r="12" spans="1:18" ht="14.25" customHeight="1" thickBot="1">
      <c r="A12" s="553"/>
      <c r="B12" s="561"/>
      <c r="C12" s="562"/>
      <c r="D12" s="553"/>
      <c r="E12" s="553"/>
      <c r="F12" s="569"/>
      <c r="G12" s="565"/>
      <c r="H12" s="567"/>
      <c r="I12" s="553"/>
      <c r="J12" s="553"/>
      <c r="K12" s="553"/>
      <c r="L12" s="553"/>
      <c r="M12" s="553"/>
      <c r="N12" s="553"/>
      <c r="O12" s="553"/>
      <c r="P12" s="553"/>
      <c r="Q12" s="553"/>
      <c r="R12" s="553"/>
    </row>
    <row r="13" spans="1:18" s="32" customFormat="1" ht="19.5" customHeight="1">
      <c r="A13" s="91">
        <v>1</v>
      </c>
      <c r="B13" s="538" t="s">
        <v>68</v>
      </c>
      <c r="C13" s="538"/>
      <c r="D13" s="92">
        <f t="shared" ref="D13:I13" si="0">D14+D15</f>
        <v>75196615</v>
      </c>
      <c r="E13" s="92">
        <f t="shared" si="0"/>
        <v>80916668</v>
      </c>
      <c r="F13" s="92">
        <f t="shared" si="0"/>
        <v>81699693</v>
      </c>
      <c r="G13" s="366">
        <f t="shared" si="0"/>
        <v>85095905</v>
      </c>
      <c r="H13" s="371">
        <f t="shared" si="0"/>
        <v>119312492</v>
      </c>
      <c r="I13" s="92">
        <f t="shared" si="0"/>
        <v>165936142</v>
      </c>
      <c r="J13" s="92">
        <f>J14+J15</f>
        <v>113885334</v>
      </c>
      <c r="K13" s="92">
        <f>K14+K15</f>
        <v>101647586</v>
      </c>
      <c r="L13" s="449">
        <f>L14+L15</f>
        <v>118758338</v>
      </c>
      <c r="M13" s="92">
        <f t="shared" ref="M13:Q13" si="1">M14+M15</f>
        <v>105848430</v>
      </c>
      <c r="N13" s="92">
        <f t="shared" si="1"/>
        <v>108106216</v>
      </c>
      <c r="O13" s="92">
        <f t="shared" si="1"/>
        <v>111058581</v>
      </c>
      <c r="P13" s="92">
        <f t="shared" si="1"/>
        <v>110686756</v>
      </c>
      <c r="Q13" s="93">
        <f t="shared" si="1"/>
        <v>114433575</v>
      </c>
      <c r="R13" s="94">
        <f>R14+R15</f>
        <v>130658641</v>
      </c>
    </row>
    <row r="14" spans="1:18" ht="19.5" customHeight="1">
      <c r="A14" s="95" t="s">
        <v>69</v>
      </c>
      <c r="B14" s="537" t="s">
        <v>70</v>
      </c>
      <c r="C14" s="537"/>
      <c r="D14" s="96">
        <v>74779347</v>
      </c>
      <c r="E14" s="97">
        <v>80901768</v>
      </c>
      <c r="F14" s="97">
        <v>80665439</v>
      </c>
      <c r="G14" s="121">
        <v>84339995</v>
      </c>
      <c r="H14" s="372">
        <v>90829741</v>
      </c>
      <c r="I14" s="97">
        <v>96803585</v>
      </c>
      <c r="J14" s="97">
        <v>98052833</v>
      </c>
      <c r="K14" s="98">
        <v>99647586</v>
      </c>
      <c r="L14" s="97">
        <v>104758338</v>
      </c>
      <c r="M14" s="97">
        <v>105848430</v>
      </c>
      <c r="N14" s="97">
        <v>108106216</v>
      </c>
      <c r="O14" s="97">
        <v>111058581</v>
      </c>
      <c r="P14" s="97">
        <v>110686756</v>
      </c>
      <c r="Q14" s="99">
        <v>114433575</v>
      </c>
      <c r="R14" s="97">
        <v>118658641</v>
      </c>
    </row>
    <row r="15" spans="1:18" ht="19.5" customHeight="1">
      <c r="A15" s="95" t="s">
        <v>71</v>
      </c>
      <c r="B15" s="537" t="s">
        <v>72</v>
      </c>
      <c r="C15" s="537"/>
      <c r="D15" s="96">
        <v>417268</v>
      </c>
      <c r="E15" s="97">
        <v>14900</v>
      </c>
      <c r="F15" s="97">
        <v>1034254</v>
      </c>
      <c r="G15" s="121">
        <v>755910</v>
      </c>
      <c r="H15" s="372">
        <v>28482751</v>
      </c>
      <c r="I15" s="97">
        <v>69132557</v>
      </c>
      <c r="J15" s="97">
        <v>15832501</v>
      </c>
      <c r="K15" s="98">
        <v>2000000</v>
      </c>
      <c r="L15" s="97">
        <v>14000000</v>
      </c>
      <c r="M15" s="97">
        <f>M16</f>
        <v>0</v>
      </c>
      <c r="N15" s="97">
        <f>N16</f>
        <v>0</v>
      </c>
      <c r="O15" s="98">
        <v>0</v>
      </c>
      <c r="P15" s="97">
        <f>P16</f>
        <v>0</v>
      </c>
      <c r="Q15" s="99">
        <f>Q16</f>
        <v>0</v>
      </c>
      <c r="R15" s="100">
        <f>R16</f>
        <v>12000000</v>
      </c>
    </row>
    <row r="16" spans="1:18" ht="20.25" customHeight="1">
      <c r="A16" s="95" t="s">
        <v>73</v>
      </c>
      <c r="B16" s="128" t="s">
        <v>74</v>
      </c>
      <c r="C16" s="173" t="s">
        <v>75</v>
      </c>
      <c r="D16" s="96">
        <v>0</v>
      </c>
      <c r="E16" s="97">
        <v>0</v>
      </c>
      <c r="F16" s="97">
        <v>197354</v>
      </c>
      <c r="G16" s="121">
        <v>255910</v>
      </c>
      <c r="H16" s="372">
        <v>13500000</v>
      </c>
      <c r="I16" s="98">
        <v>22500000</v>
      </c>
      <c r="J16" s="98">
        <v>12000000</v>
      </c>
      <c r="K16" s="98">
        <v>2000000</v>
      </c>
      <c r="L16" s="98">
        <v>5000000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12000000</v>
      </c>
    </row>
    <row r="17" spans="1:19" ht="54.75" customHeight="1">
      <c r="A17" s="104">
        <v>2</v>
      </c>
      <c r="B17" s="554" t="s">
        <v>76</v>
      </c>
      <c r="C17" s="554"/>
      <c r="D17" s="105">
        <v>54819832</v>
      </c>
      <c r="E17" s="105">
        <v>63400831</v>
      </c>
      <c r="F17" s="105">
        <v>71551205</v>
      </c>
      <c r="G17" s="116">
        <v>76029699</v>
      </c>
      <c r="H17" s="373">
        <v>82833027</v>
      </c>
      <c r="I17" s="105">
        <v>79180753</v>
      </c>
      <c r="J17" s="105">
        <v>79020230</v>
      </c>
      <c r="K17" s="105">
        <v>80870732</v>
      </c>
      <c r="L17" s="105">
        <v>81620332</v>
      </c>
      <c r="M17" s="105">
        <v>87888924</v>
      </c>
      <c r="N17" s="105">
        <v>89847353</v>
      </c>
      <c r="O17" s="105">
        <v>104909222</v>
      </c>
      <c r="P17" s="105">
        <v>106492957</v>
      </c>
      <c r="Q17" s="106">
        <v>110241024</v>
      </c>
      <c r="R17" s="107">
        <v>113939185</v>
      </c>
    </row>
    <row r="18" spans="1:19" ht="24.75" customHeight="1">
      <c r="A18" s="95" t="s">
        <v>69</v>
      </c>
      <c r="B18" s="555" t="s">
        <v>74</v>
      </c>
      <c r="C18" s="101" t="s">
        <v>77</v>
      </c>
      <c r="D18" s="96">
        <v>18942650</v>
      </c>
      <c r="E18" s="97">
        <v>21925321.760000002</v>
      </c>
      <c r="F18" s="97">
        <v>25712119</v>
      </c>
      <c r="G18" s="121">
        <v>28031630</v>
      </c>
      <c r="H18" s="372">
        <v>30922400</v>
      </c>
      <c r="I18" s="97">
        <f t="shared" ref="I18:P18" si="2">H18*102%</f>
        <v>31540848</v>
      </c>
      <c r="J18" s="97">
        <f t="shared" si="2"/>
        <v>32171664.960000001</v>
      </c>
      <c r="K18" s="98">
        <f t="shared" si="2"/>
        <v>32815098.259200003</v>
      </c>
      <c r="L18" s="97">
        <f t="shared" si="2"/>
        <v>33471400.224384002</v>
      </c>
      <c r="M18" s="97">
        <f t="shared" si="2"/>
        <v>34140828.228871681</v>
      </c>
      <c r="N18" s="97">
        <f t="shared" si="2"/>
        <v>34823644.793449119</v>
      </c>
      <c r="O18" s="97">
        <f t="shared" si="2"/>
        <v>35520117.689318098</v>
      </c>
      <c r="P18" s="97">
        <f t="shared" si="2"/>
        <v>36230520.043104462</v>
      </c>
      <c r="Q18" s="99">
        <f>O18*102%</f>
        <v>36230520.043104462</v>
      </c>
      <c r="R18" s="100">
        <f>P18*102%</f>
        <v>36955130.443966553</v>
      </c>
    </row>
    <row r="19" spans="1:19" ht="24.75" customHeight="1">
      <c r="A19" s="95" t="s">
        <v>71</v>
      </c>
      <c r="B19" s="555"/>
      <c r="C19" s="101" t="s">
        <v>78</v>
      </c>
      <c r="D19" s="97">
        <v>6162886</v>
      </c>
      <c r="E19" s="97">
        <v>6959371</v>
      </c>
      <c r="F19" s="97">
        <v>7561065</v>
      </c>
      <c r="G19" s="121">
        <v>8358243</v>
      </c>
      <c r="H19" s="372">
        <v>8522694</v>
      </c>
      <c r="I19" s="97">
        <v>7910300</v>
      </c>
      <c r="J19" s="97">
        <v>7950000</v>
      </c>
      <c r="K19" s="98">
        <v>7980000</v>
      </c>
      <c r="L19" s="97">
        <v>8010000</v>
      </c>
      <c r="M19" s="97">
        <v>8170200</v>
      </c>
      <c r="N19" s="97">
        <f>M19*102%</f>
        <v>8333604</v>
      </c>
      <c r="O19" s="97">
        <f>N19*102%</f>
        <v>8500276.0800000001</v>
      </c>
      <c r="P19" s="97">
        <f>O19*102%</f>
        <v>8670281.6016000006</v>
      </c>
      <c r="Q19" s="99">
        <f>O19*102%</f>
        <v>8670281.6016000006</v>
      </c>
      <c r="R19" s="100">
        <f>P19*102%</f>
        <v>8843687.2336320002</v>
      </c>
    </row>
    <row r="20" spans="1:19" ht="20.25" customHeight="1">
      <c r="A20" s="95" t="s">
        <v>79</v>
      </c>
      <c r="B20" s="555"/>
      <c r="C20" s="101" t="s">
        <v>80</v>
      </c>
      <c r="D20" s="96">
        <v>0</v>
      </c>
      <c r="E20" s="97">
        <v>0</v>
      </c>
      <c r="F20" s="97">
        <v>0</v>
      </c>
      <c r="G20" s="121">
        <v>0</v>
      </c>
      <c r="H20" s="374">
        <v>0</v>
      </c>
      <c r="I20" s="96"/>
      <c r="J20" s="96">
        <v>0</v>
      </c>
      <c r="K20" s="96"/>
      <c r="L20" s="96"/>
      <c r="M20" s="96"/>
      <c r="N20" s="96"/>
      <c r="O20" s="96"/>
      <c r="P20" s="96"/>
      <c r="Q20" s="96"/>
      <c r="R20" s="96"/>
    </row>
    <row r="21" spans="1:19" ht="35.25" customHeight="1">
      <c r="A21" s="95" t="s">
        <v>73</v>
      </c>
      <c r="B21" s="555"/>
      <c r="C21" s="101" t="s">
        <v>81</v>
      </c>
      <c r="D21" s="96">
        <v>0</v>
      </c>
      <c r="E21" s="96">
        <v>0</v>
      </c>
      <c r="F21" s="96">
        <v>0</v>
      </c>
      <c r="G21" s="121">
        <v>0</v>
      </c>
      <c r="H21" s="374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108">
        <v>0</v>
      </c>
      <c r="R21" s="109">
        <v>0</v>
      </c>
    </row>
    <row r="22" spans="1:19" ht="31.5">
      <c r="A22" s="95" t="s">
        <v>82</v>
      </c>
      <c r="B22" s="555"/>
      <c r="C22" s="101" t="s">
        <v>83</v>
      </c>
      <c r="D22" s="110" t="s">
        <v>84</v>
      </c>
      <c r="E22" s="97" t="s">
        <v>84</v>
      </c>
      <c r="F22" s="97" t="s">
        <v>84</v>
      </c>
      <c r="G22" s="121" t="s">
        <v>84</v>
      </c>
      <c r="H22" s="372">
        <f>'Wykaz przedsięwzięć'!J12</f>
        <v>687917</v>
      </c>
      <c r="I22" s="98">
        <f>'Wykaz przedsięwzięć'!M12</f>
        <v>687917</v>
      </c>
      <c r="J22" s="98">
        <f>'Wykaz przedsięwzięć'!N12</f>
        <v>550200</v>
      </c>
      <c r="K22" s="98">
        <f>'Wykaz przedsięwzięć'!O62</f>
        <v>329400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102">
        <v>0</v>
      </c>
      <c r="R22" s="103">
        <v>0</v>
      </c>
    </row>
    <row r="23" spans="1:19" ht="38.25" customHeight="1">
      <c r="A23" s="111">
        <v>3</v>
      </c>
      <c r="B23" s="539" t="s">
        <v>85</v>
      </c>
      <c r="C23" s="539"/>
      <c r="D23" s="112">
        <f t="shared" ref="D23:R23" si="3">D13-D17</f>
        <v>20376783</v>
      </c>
      <c r="E23" s="112">
        <f t="shared" si="3"/>
        <v>17515837</v>
      </c>
      <c r="F23" s="112">
        <f t="shared" si="3"/>
        <v>10148488</v>
      </c>
      <c r="G23" s="116">
        <f>G13-G17</f>
        <v>9066206</v>
      </c>
      <c r="H23" s="373">
        <f t="shared" si="3"/>
        <v>36479465</v>
      </c>
      <c r="I23" s="112">
        <f>I13-I17</f>
        <v>86755389</v>
      </c>
      <c r="J23" s="112">
        <f t="shared" si="3"/>
        <v>34865104</v>
      </c>
      <c r="K23" s="105">
        <f t="shared" si="3"/>
        <v>20776854</v>
      </c>
      <c r="L23" s="112">
        <f>L13-L17</f>
        <v>37138006</v>
      </c>
      <c r="M23" s="112">
        <f t="shared" si="3"/>
        <v>17959506</v>
      </c>
      <c r="N23" s="112">
        <f t="shared" si="3"/>
        <v>18258863</v>
      </c>
      <c r="O23" s="112">
        <f t="shared" si="3"/>
        <v>6149359</v>
      </c>
      <c r="P23" s="112">
        <f t="shared" si="3"/>
        <v>4193799</v>
      </c>
      <c r="Q23" s="113">
        <f>Q13-Q17</f>
        <v>4192551</v>
      </c>
      <c r="R23" s="114">
        <f t="shared" si="3"/>
        <v>16719456</v>
      </c>
    </row>
    <row r="24" spans="1:19" ht="39.75" customHeight="1">
      <c r="A24" s="111">
        <v>4</v>
      </c>
      <c r="B24" s="539" t="s">
        <v>86</v>
      </c>
      <c r="C24" s="539"/>
      <c r="D24" s="115">
        <v>36329305</v>
      </c>
      <c r="E24" s="115">
        <v>19854380</v>
      </c>
      <c r="F24" s="115">
        <v>3719761</v>
      </c>
      <c r="G24" s="116">
        <v>1245475</v>
      </c>
      <c r="H24" s="375">
        <v>427077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7">
        <v>0</v>
      </c>
      <c r="R24" s="118">
        <v>0</v>
      </c>
    </row>
    <row r="25" spans="1:19" ht="51" customHeight="1">
      <c r="A25" s="95" t="s">
        <v>69</v>
      </c>
      <c r="B25" s="119" t="s">
        <v>74</v>
      </c>
      <c r="C25" s="120" t="s">
        <v>87</v>
      </c>
      <c r="D25" s="96">
        <v>16474925</v>
      </c>
      <c r="E25" s="96">
        <v>14712619</v>
      </c>
      <c r="F25" s="96">
        <v>0</v>
      </c>
      <c r="G25" s="121"/>
      <c r="H25" s="374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2">
        <v>0</v>
      </c>
      <c r="R25" s="123">
        <v>0</v>
      </c>
    </row>
    <row r="26" spans="1:19" ht="33.75" customHeight="1">
      <c r="A26" s="111">
        <v>5</v>
      </c>
      <c r="B26" s="539" t="s">
        <v>88</v>
      </c>
      <c r="C26" s="539"/>
      <c r="D26" s="115">
        <v>0</v>
      </c>
      <c r="E26" s="115">
        <v>0</v>
      </c>
      <c r="F26" s="112">
        <v>0</v>
      </c>
      <c r="G26" s="116">
        <v>0</v>
      </c>
      <c r="H26" s="373">
        <v>0</v>
      </c>
      <c r="I26" s="112">
        <v>0</v>
      </c>
      <c r="J26" s="112">
        <v>0</v>
      </c>
      <c r="K26" s="105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3">
        <v>0</v>
      </c>
      <c r="R26" s="114">
        <v>0</v>
      </c>
    </row>
    <row r="27" spans="1:19" ht="20.25" customHeight="1">
      <c r="A27" s="111">
        <v>6</v>
      </c>
      <c r="B27" s="539" t="s">
        <v>89</v>
      </c>
      <c r="C27" s="539"/>
      <c r="D27" s="112">
        <f t="shared" ref="D27:R27" si="4">D23+D24+D26</f>
        <v>56706088</v>
      </c>
      <c r="E27" s="112">
        <f t="shared" si="4"/>
        <v>37370217</v>
      </c>
      <c r="F27" s="112">
        <f t="shared" si="4"/>
        <v>13868249</v>
      </c>
      <c r="G27" s="116">
        <f>G23+G24+G26</f>
        <v>10311681</v>
      </c>
      <c r="H27" s="373">
        <f>H23+H24+H26</f>
        <v>36906542</v>
      </c>
      <c r="I27" s="112">
        <f>I23+I24+I26</f>
        <v>86755389</v>
      </c>
      <c r="J27" s="112">
        <f t="shared" si="4"/>
        <v>34865104</v>
      </c>
      <c r="K27" s="105">
        <f t="shared" si="4"/>
        <v>20776854</v>
      </c>
      <c r="L27" s="112">
        <f>L23+L24+L26</f>
        <v>37138006</v>
      </c>
      <c r="M27" s="112">
        <f t="shared" si="4"/>
        <v>17959506</v>
      </c>
      <c r="N27" s="112">
        <f t="shared" si="4"/>
        <v>18258863</v>
      </c>
      <c r="O27" s="112">
        <f t="shared" si="4"/>
        <v>6149359</v>
      </c>
      <c r="P27" s="112">
        <f t="shared" si="4"/>
        <v>4193799</v>
      </c>
      <c r="Q27" s="113">
        <f t="shared" si="4"/>
        <v>4192551</v>
      </c>
      <c r="R27" s="114">
        <f t="shared" si="4"/>
        <v>16719456</v>
      </c>
    </row>
    <row r="28" spans="1:19" ht="20.25" customHeight="1">
      <c r="A28" s="111">
        <v>7</v>
      </c>
      <c r="B28" s="539" t="s">
        <v>90</v>
      </c>
      <c r="C28" s="539"/>
      <c r="D28" s="115">
        <f t="shared" ref="D28:R28" si="5">D29+D33</f>
        <v>1473579</v>
      </c>
      <c r="E28" s="115">
        <f t="shared" si="5"/>
        <v>1883950</v>
      </c>
      <c r="F28" s="115">
        <f t="shared" si="5"/>
        <v>4502192</v>
      </c>
      <c r="G28" s="116">
        <f>G29+G33</f>
        <v>9065858</v>
      </c>
      <c r="H28" s="375">
        <f t="shared" si="5"/>
        <v>6883561</v>
      </c>
      <c r="I28" s="115">
        <v>9232930</v>
      </c>
      <c r="J28" s="115">
        <f t="shared" si="5"/>
        <v>9953843</v>
      </c>
      <c r="K28" s="116">
        <f t="shared" si="5"/>
        <v>9376854</v>
      </c>
      <c r="L28" s="115">
        <f t="shared" si="5"/>
        <v>8138006</v>
      </c>
      <c r="M28" s="115">
        <f t="shared" si="5"/>
        <v>7959506</v>
      </c>
      <c r="N28" s="115">
        <f t="shared" si="5"/>
        <v>8258863</v>
      </c>
      <c r="O28" s="115">
        <f t="shared" si="5"/>
        <v>6149359.2599999998</v>
      </c>
      <c r="P28" s="115">
        <f t="shared" si="5"/>
        <v>4193798.54</v>
      </c>
      <c r="Q28" s="124">
        <f t="shared" si="5"/>
        <v>4192551.43</v>
      </c>
      <c r="R28" s="125">
        <f t="shared" si="5"/>
        <v>4719456.3224999998</v>
      </c>
    </row>
    <row r="29" spans="1:19" s="19" customFormat="1" ht="36" customHeight="1">
      <c r="A29" s="126" t="s">
        <v>69</v>
      </c>
      <c r="B29" s="535" t="s">
        <v>91</v>
      </c>
      <c r="C29" s="535"/>
      <c r="D29" s="121">
        <v>1167600</v>
      </c>
      <c r="E29" s="98">
        <v>1422000</v>
      </c>
      <c r="F29" s="98">
        <v>3463314</v>
      </c>
      <c r="G29" s="121">
        <v>6940085</v>
      </c>
      <c r="H29" s="372">
        <v>4551585</v>
      </c>
      <c r="I29" s="98">
        <f>SUM(I30:I32)</f>
        <v>6935040</v>
      </c>
      <c r="J29" s="98">
        <f>SUM(J30:J32)</f>
        <v>7266899</v>
      </c>
      <c r="K29" s="98">
        <f t="shared" ref="K29:R29" si="6">SUM(K30:K32)</f>
        <v>7106453</v>
      </c>
      <c r="L29" s="98">
        <f t="shared" si="6"/>
        <v>6150000</v>
      </c>
      <c r="M29" s="98">
        <f t="shared" si="6"/>
        <v>6250000</v>
      </c>
      <c r="N29" s="98">
        <f t="shared" si="6"/>
        <v>6801170</v>
      </c>
      <c r="O29" s="98">
        <f t="shared" si="6"/>
        <v>5062028</v>
      </c>
      <c r="P29" s="98">
        <f t="shared" si="6"/>
        <v>3450523</v>
      </c>
      <c r="Q29" s="98">
        <f t="shared" si="6"/>
        <v>3700000</v>
      </c>
      <c r="R29" s="98">
        <f t="shared" si="6"/>
        <v>4523949</v>
      </c>
      <c r="S29" s="30"/>
    </row>
    <row r="30" spans="1:19" s="19" customFormat="1" ht="19.5" customHeight="1">
      <c r="A30" s="126"/>
      <c r="B30" s="536" t="s">
        <v>74</v>
      </c>
      <c r="C30" s="127" t="s">
        <v>92</v>
      </c>
      <c r="D30" s="121">
        <v>1167600</v>
      </c>
      <c r="E30" s="98">
        <v>1422000</v>
      </c>
      <c r="F30" s="98">
        <v>2963314</v>
      </c>
      <c r="G30" s="121">
        <v>3340085</v>
      </c>
      <c r="H30" s="372">
        <v>2141585</v>
      </c>
      <c r="I30" s="98">
        <f>Arkusz5!J9</f>
        <v>3535040</v>
      </c>
      <c r="J30" s="98">
        <f>Arkusz5!J13</f>
        <v>3666899</v>
      </c>
      <c r="K30" s="98">
        <f>Arkusz5!J17</f>
        <v>3506453</v>
      </c>
      <c r="L30" s="98">
        <f>Arkusz5!J21</f>
        <v>2550000</v>
      </c>
      <c r="M30" s="98">
        <f>Arkusz5!J25</f>
        <v>2550000</v>
      </c>
      <c r="N30" s="98">
        <f>Arkusz5!J29</f>
        <v>2401170</v>
      </c>
      <c r="O30" s="98">
        <f>Arkusz5!J33</f>
        <v>62028</v>
      </c>
      <c r="P30" s="98">
        <f>Arkusz5!J37</f>
        <v>750523</v>
      </c>
      <c r="Q30" s="102">
        <f>Arkusz5!J41</f>
        <v>1000000</v>
      </c>
      <c r="R30" s="103">
        <f>Arkusz5!J45</f>
        <v>423949</v>
      </c>
      <c r="S30" s="30"/>
    </row>
    <row r="31" spans="1:19" s="19" customFormat="1" ht="19.5" customHeight="1">
      <c r="A31" s="126"/>
      <c r="B31" s="536"/>
      <c r="C31" s="127" t="s">
        <v>93</v>
      </c>
      <c r="D31" s="121"/>
      <c r="E31" s="98"/>
      <c r="F31" s="98">
        <v>500000</v>
      </c>
      <c r="G31" s="121">
        <v>3600000</v>
      </c>
      <c r="H31" s="372">
        <v>410000</v>
      </c>
      <c r="I31" s="98">
        <v>400000</v>
      </c>
      <c r="J31" s="98">
        <v>600000</v>
      </c>
      <c r="K31" s="98">
        <v>600000</v>
      </c>
      <c r="L31" s="98">
        <v>600000</v>
      </c>
      <c r="M31" s="98">
        <v>700000</v>
      </c>
      <c r="N31" s="98">
        <v>1400000</v>
      </c>
      <c r="O31" s="98"/>
      <c r="P31" s="98"/>
      <c r="Q31" s="102"/>
      <c r="R31" s="103"/>
      <c r="S31" s="30"/>
    </row>
    <row r="32" spans="1:19" s="19" customFormat="1" ht="19.5" customHeight="1">
      <c r="A32" s="126"/>
      <c r="B32" s="536"/>
      <c r="C32" s="127" t="s">
        <v>94</v>
      </c>
      <c r="D32" s="121"/>
      <c r="E32" s="98"/>
      <c r="F32" s="98"/>
      <c r="G32" s="121"/>
      <c r="H32" s="372">
        <v>2000000</v>
      </c>
      <c r="I32" s="98">
        <f>'spł obligacji'!J9</f>
        <v>3000000</v>
      </c>
      <c r="J32" s="98">
        <f>'spł obligacji'!J13</f>
        <v>3000000</v>
      </c>
      <c r="K32" s="98">
        <f>'spł obligacji'!J17</f>
        <v>3000000</v>
      </c>
      <c r="L32" s="98">
        <f>'spł obligacji'!J21</f>
        <v>3000000</v>
      </c>
      <c r="M32" s="98">
        <f>'spł obligacji'!J25</f>
        <v>3000000</v>
      </c>
      <c r="N32" s="98">
        <f>'spł obligacji'!J29</f>
        <v>3000000</v>
      </c>
      <c r="O32" s="98">
        <f>'spł obligacji'!J33</f>
        <v>5000000</v>
      </c>
      <c r="P32" s="98">
        <f>'spł obligacji'!J37</f>
        <v>2700000</v>
      </c>
      <c r="Q32" s="102">
        <f>'spł obligacji'!J41</f>
        <v>2700000</v>
      </c>
      <c r="R32" s="103">
        <f>'spł obligacji'!J45</f>
        <v>4100000</v>
      </c>
      <c r="S32" s="30"/>
    </row>
    <row r="33" spans="1:18" ht="20.25" customHeight="1">
      <c r="A33" s="95" t="s">
        <v>71</v>
      </c>
      <c r="B33" s="537" t="s">
        <v>95</v>
      </c>
      <c r="C33" s="537"/>
      <c r="D33" s="96">
        <v>305979</v>
      </c>
      <c r="E33" s="97">
        <v>461950</v>
      </c>
      <c r="F33" s="97">
        <v>1038878</v>
      </c>
      <c r="G33" s="121">
        <v>2125773</v>
      </c>
      <c r="H33" s="372">
        <v>2331976</v>
      </c>
      <c r="I33" s="97">
        <f>Arkusz5!K9+'spł obligacji'!K4+161250</f>
        <v>2297890</v>
      </c>
      <c r="J33" s="97">
        <f>'spł obligacji'!K13+Arkusz5!K13+146250</f>
        <v>2686944</v>
      </c>
      <c r="K33" s="98">
        <f>'spł obligacji'!K17+Arkusz5!K17+123750</f>
        <v>2270401</v>
      </c>
      <c r="L33" s="97">
        <f>'spł obligacji'!K21+Arkusz5!K21+101250</f>
        <v>1988006</v>
      </c>
      <c r="M33" s="97">
        <f>'spł obligacji'!K25+Arkusz5!K25+78750</f>
        <v>1709506</v>
      </c>
      <c r="N33" s="97">
        <f>'spł obligacji'!K29+Arkusz5!K29+52500</f>
        <v>1457693</v>
      </c>
      <c r="O33" s="97">
        <f>'spł obligacji'!K33+Arkusz5!K33</f>
        <v>1087331.26</v>
      </c>
      <c r="P33" s="97">
        <f>'spł obligacji'!K37+Arkusz5!K37</f>
        <v>743275.54000000015</v>
      </c>
      <c r="Q33" s="99">
        <f>Arkusz5!K41+'spł obligacji'!K41</f>
        <v>492551.43</v>
      </c>
      <c r="R33" s="100">
        <f>'spł obligacji'!K45+Arkusz5!K45</f>
        <v>195507.32250000004</v>
      </c>
    </row>
    <row r="34" spans="1:18" ht="20.25" customHeight="1">
      <c r="A34" s="111">
        <v>8</v>
      </c>
      <c r="B34" s="539" t="s">
        <v>96</v>
      </c>
      <c r="C34" s="539"/>
      <c r="D34" s="115">
        <v>0</v>
      </c>
      <c r="E34" s="112">
        <v>0</v>
      </c>
      <c r="F34" s="112">
        <v>0</v>
      </c>
      <c r="G34" s="116">
        <v>40000</v>
      </c>
      <c r="H34" s="373">
        <v>0</v>
      </c>
      <c r="I34" s="112">
        <v>0</v>
      </c>
      <c r="J34" s="112">
        <v>0</v>
      </c>
      <c r="K34" s="105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3">
        <v>0</v>
      </c>
      <c r="R34" s="114">
        <v>0</v>
      </c>
    </row>
    <row r="35" spans="1:18" ht="37.5" customHeight="1">
      <c r="A35" s="104">
        <v>9</v>
      </c>
      <c r="B35" s="554" t="s">
        <v>238</v>
      </c>
      <c r="C35" s="554"/>
      <c r="D35" s="105">
        <f t="shared" ref="D35:P35" si="7">D27-D28-D34</f>
        <v>55232509</v>
      </c>
      <c r="E35" s="105">
        <f t="shared" si="7"/>
        <v>35486267</v>
      </c>
      <c r="F35" s="105">
        <f t="shared" si="7"/>
        <v>9366057</v>
      </c>
      <c r="G35" s="116">
        <f>G27-G28-G34</f>
        <v>1205823</v>
      </c>
      <c r="H35" s="373">
        <f>H27-H28-H34</f>
        <v>30022981</v>
      </c>
      <c r="I35" s="105">
        <f>I27-I28-I34</f>
        <v>77522459</v>
      </c>
      <c r="J35" s="105">
        <f>J27-J28-J34</f>
        <v>24911261</v>
      </c>
      <c r="K35" s="105">
        <f t="shared" si="7"/>
        <v>11400000</v>
      </c>
      <c r="L35" s="105">
        <f t="shared" si="7"/>
        <v>29000000</v>
      </c>
      <c r="M35" s="105">
        <f t="shared" si="7"/>
        <v>10000000</v>
      </c>
      <c r="N35" s="105">
        <f t="shared" si="7"/>
        <v>10000000</v>
      </c>
      <c r="O35" s="105">
        <f t="shared" si="7"/>
        <v>-0.25999999977648258</v>
      </c>
      <c r="P35" s="105">
        <f t="shared" si="7"/>
        <v>0.4599999999627471</v>
      </c>
      <c r="Q35" s="106"/>
      <c r="R35" s="107">
        <f>R36</f>
        <v>12000000</v>
      </c>
    </row>
    <row r="36" spans="1:18" ht="20.25" customHeight="1">
      <c r="A36" s="104">
        <v>10</v>
      </c>
      <c r="B36" s="554" t="s">
        <v>97</v>
      </c>
      <c r="C36" s="554"/>
      <c r="D36" s="116">
        <v>38733128.640000001</v>
      </c>
      <c r="E36" s="105">
        <v>43312675.57</v>
      </c>
      <c r="F36" s="105">
        <v>33260582</v>
      </c>
      <c r="G36" s="116">
        <v>9778746</v>
      </c>
      <c r="H36" s="373">
        <v>44022981</v>
      </c>
      <c r="I36" s="105">
        <f t="shared" ref="I36:P36" si="8">I37</f>
        <v>77522459</v>
      </c>
      <c r="J36" s="105">
        <f>J37</f>
        <v>24911261</v>
      </c>
      <c r="K36" s="105">
        <f t="shared" si="8"/>
        <v>11400000</v>
      </c>
      <c r="L36" s="105">
        <f t="shared" si="8"/>
        <v>29000000</v>
      </c>
      <c r="M36" s="105">
        <v>10000000</v>
      </c>
      <c r="N36" s="105">
        <v>10000000</v>
      </c>
      <c r="O36" s="105">
        <f t="shared" si="8"/>
        <v>0</v>
      </c>
      <c r="P36" s="105">
        <f t="shared" si="8"/>
        <v>0</v>
      </c>
      <c r="Q36" s="105"/>
      <c r="R36" s="105">
        <v>12000000</v>
      </c>
    </row>
    <row r="37" spans="1:18" ht="36" customHeight="1">
      <c r="A37" s="95" t="s">
        <v>69</v>
      </c>
      <c r="B37" s="128" t="s">
        <v>74</v>
      </c>
      <c r="C37" s="101" t="s">
        <v>98</v>
      </c>
      <c r="D37" s="96" t="s">
        <v>84</v>
      </c>
      <c r="E37" s="97" t="s">
        <v>84</v>
      </c>
      <c r="F37" s="97" t="s">
        <v>84</v>
      </c>
      <c r="G37" s="121" t="s">
        <v>84</v>
      </c>
      <c r="H37" s="372">
        <f>'Wykaz przedsięwzięć'!L15</f>
        <v>27411788</v>
      </c>
      <c r="I37" s="98">
        <f>'Wykaz przedsięwzięć'!M13</f>
        <v>77522459</v>
      </c>
      <c r="J37" s="98">
        <f>'Wykaz przedsięwzięć'!N13</f>
        <v>24911261</v>
      </c>
      <c r="K37" s="98">
        <f>'Wykaz przedsięwzięć'!O14</f>
        <v>11400000</v>
      </c>
      <c r="L37" s="98">
        <f>'Wykaz przedsięwzięć'!P14</f>
        <v>29000000</v>
      </c>
      <c r="M37" s="98"/>
      <c r="N37" s="98"/>
      <c r="O37" s="98"/>
      <c r="P37" s="98"/>
      <c r="Q37" s="102"/>
      <c r="R37" s="103"/>
    </row>
    <row r="38" spans="1:18" ht="15">
      <c r="A38" s="129"/>
      <c r="B38" s="130"/>
      <c r="C38" s="131"/>
      <c r="D38" s="132"/>
      <c r="E38" s="133"/>
      <c r="F38" s="133"/>
      <c r="G38" s="367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</row>
    <row r="39" spans="1:18" ht="15">
      <c r="A39" s="135"/>
      <c r="B39" s="136"/>
      <c r="C39" s="137"/>
      <c r="D39" s="138"/>
      <c r="E39" s="139"/>
      <c r="F39" s="139"/>
      <c r="G39" s="368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</row>
    <row r="40" spans="1:18" ht="15">
      <c r="A40" s="135"/>
      <c r="B40" s="136"/>
      <c r="C40" s="137"/>
      <c r="D40" s="138"/>
      <c r="E40" s="139"/>
      <c r="F40" s="139"/>
      <c r="G40" s="368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</row>
    <row r="41" spans="1:18" ht="24" customHeight="1">
      <c r="A41" s="135"/>
      <c r="B41" s="136"/>
      <c r="C41" s="137"/>
      <c r="D41" s="138"/>
      <c r="E41" s="139"/>
      <c r="F41" s="139"/>
      <c r="G41" s="368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</row>
    <row r="42" spans="1:18" ht="15">
      <c r="A42" s="135"/>
      <c r="B42" s="136"/>
      <c r="C42" s="137"/>
      <c r="D42" s="138"/>
      <c r="E42" s="139"/>
      <c r="F42" s="139"/>
      <c r="G42" s="368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</row>
    <row r="43" spans="1:18" ht="27" customHeight="1">
      <c r="A43" s="135"/>
      <c r="B43" s="136"/>
      <c r="C43" s="137"/>
      <c r="D43" s="138"/>
      <c r="E43" s="139"/>
      <c r="F43" s="139"/>
      <c r="G43" s="368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</row>
    <row r="44" spans="1:18" ht="29.25" customHeight="1">
      <c r="A44" s="135"/>
      <c r="B44" s="136"/>
      <c r="C44" s="137"/>
      <c r="D44" s="138"/>
      <c r="E44" s="139"/>
      <c r="F44" s="139"/>
      <c r="G44" s="368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</row>
    <row r="45" spans="1:18" ht="15">
      <c r="A45" s="135"/>
      <c r="B45" s="136"/>
      <c r="C45" s="137"/>
      <c r="D45" s="138"/>
      <c r="E45" s="139"/>
      <c r="F45" s="139"/>
      <c r="G45" s="368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</row>
    <row r="46" spans="1:18" ht="15">
      <c r="A46" s="135"/>
      <c r="B46" s="136"/>
      <c r="C46" s="137"/>
      <c r="D46" s="138"/>
      <c r="E46" s="139"/>
      <c r="F46" s="139"/>
      <c r="G46" s="368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</row>
    <row r="47" spans="1:18" ht="18" customHeight="1">
      <c r="A47" s="135"/>
      <c r="B47" s="136"/>
      <c r="C47" s="137"/>
      <c r="D47" s="138"/>
      <c r="E47" s="139"/>
      <c r="F47" s="139"/>
      <c r="G47" s="368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</row>
    <row r="48" spans="1:18" ht="6.75" customHeight="1">
      <c r="A48" s="135"/>
      <c r="B48" s="136"/>
      <c r="C48" s="137"/>
      <c r="D48" s="138"/>
      <c r="E48" s="139"/>
      <c r="F48" s="139"/>
      <c r="G48" s="368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</row>
    <row r="49" spans="1:19" ht="14.85" customHeight="1" thickBot="1">
      <c r="A49" s="542" t="s">
        <v>63</v>
      </c>
      <c r="B49" s="546" t="s">
        <v>64</v>
      </c>
      <c r="C49" s="546"/>
      <c r="D49" s="546" t="s">
        <v>65</v>
      </c>
      <c r="E49" s="546"/>
      <c r="F49" s="546"/>
      <c r="G49" s="546"/>
      <c r="H49" s="546"/>
      <c r="I49" s="546"/>
      <c r="J49" s="546"/>
      <c r="K49" s="546"/>
      <c r="L49" s="546"/>
      <c r="M49" s="546"/>
      <c r="N49" s="546"/>
      <c r="O49" s="546"/>
      <c r="P49" s="546"/>
      <c r="Q49" s="546"/>
      <c r="R49" s="546"/>
    </row>
    <row r="50" spans="1:19" ht="14.85" customHeight="1" thickBot="1">
      <c r="A50" s="542"/>
      <c r="B50" s="546"/>
      <c r="C50" s="546"/>
      <c r="D50" s="527" t="s">
        <v>66</v>
      </c>
      <c r="E50" s="528"/>
      <c r="F50" s="528"/>
      <c r="G50" s="529"/>
      <c r="H50" s="546" t="s">
        <v>67</v>
      </c>
      <c r="I50" s="546"/>
      <c r="J50" s="546"/>
      <c r="K50" s="546"/>
      <c r="L50" s="546"/>
      <c r="M50" s="546"/>
      <c r="N50" s="546"/>
      <c r="O50" s="546"/>
      <c r="P50" s="546"/>
      <c r="Q50" s="546"/>
      <c r="R50" s="546"/>
    </row>
    <row r="51" spans="1:19" ht="13.5" thickBot="1">
      <c r="A51" s="542"/>
      <c r="B51" s="546"/>
      <c r="C51" s="546"/>
      <c r="D51" s="542">
        <v>2007</v>
      </c>
      <c r="E51" s="542">
        <v>2008</v>
      </c>
      <c r="F51" s="542">
        <v>2009</v>
      </c>
      <c r="G51" s="530">
        <v>2010</v>
      </c>
      <c r="H51" s="543">
        <v>2011</v>
      </c>
      <c r="I51" s="542">
        <v>2012</v>
      </c>
      <c r="J51" s="542">
        <v>2013</v>
      </c>
      <c r="K51" s="542">
        <v>2014</v>
      </c>
      <c r="L51" s="542">
        <v>2015</v>
      </c>
      <c r="M51" s="542">
        <v>2016</v>
      </c>
      <c r="N51" s="542">
        <v>2017</v>
      </c>
      <c r="O51" s="542">
        <v>2018</v>
      </c>
      <c r="P51" s="542">
        <v>2019</v>
      </c>
      <c r="Q51" s="542">
        <v>2020</v>
      </c>
      <c r="R51" s="542">
        <v>2021</v>
      </c>
    </row>
    <row r="52" spans="1:19" ht="13.5" thickBot="1">
      <c r="A52" s="542"/>
      <c r="B52" s="546"/>
      <c r="C52" s="546"/>
      <c r="D52" s="542"/>
      <c r="E52" s="542"/>
      <c r="F52" s="542"/>
      <c r="G52" s="531"/>
      <c r="H52" s="543"/>
      <c r="I52" s="542"/>
      <c r="J52" s="542"/>
      <c r="K52" s="542"/>
      <c r="L52" s="542"/>
      <c r="M52" s="542"/>
      <c r="N52" s="542"/>
      <c r="O52" s="542"/>
      <c r="P52" s="542"/>
      <c r="Q52" s="542"/>
      <c r="R52" s="542"/>
    </row>
    <row r="53" spans="1:19" ht="27" customHeight="1">
      <c r="A53" s="111">
        <v>11</v>
      </c>
      <c r="B53" s="539" t="s">
        <v>99</v>
      </c>
      <c r="C53" s="539"/>
      <c r="D53" s="115">
        <v>3355000</v>
      </c>
      <c r="E53" s="112">
        <v>11546170</v>
      </c>
      <c r="F53" s="112">
        <v>25140000</v>
      </c>
      <c r="G53" s="116">
        <v>9000000</v>
      </c>
      <c r="H53" s="373">
        <f>SUM(H54:H57)</f>
        <v>14000000</v>
      </c>
      <c r="I53" s="112"/>
      <c r="J53" s="112">
        <v>0</v>
      </c>
      <c r="K53" s="105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3">
        <v>0</v>
      </c>
      <c r="R53" s="114">
        <v>0</v>
      </c>
    </row>
    <row r="54" spans="1:19" ht="21" customHeight="1">
      <c r="A54" s="141"/>
      <c r="B54" s="536" t="s">
        <v>74</v>
      </c>
      <c r="C54" s="127" t="s">
        <v>92</v>
      </c>
      <c r="D54" s="97">
        <v>3355000</v>
      </c>
      <c r="E54" s="97">
        <v>7546170</v>
      </c>
      <c r="F54" s="97">
        <v>6330000</v>
      </c>
      <c r="G54" s="98"/>
      <c r="H54" s="372">
        <v>2500000</v>
      </c>
      <c r="I54" s="97"/>
      <c r="J54" s="142"/>
      <c r="K54" s="143"/>
      <c r="L54" s="142"/>
      <c r="M54" s="142"/>
      <c r="N54" s="142"/>
      <c r="O54" s="142"/>
      <c r="P54" s="142"/>
      <c r="Q54" s="144"/>
      <c r="R54" s="145"/>
    </row>
    <row r="55" spans="1:19" ht="21" customHeight="1">
      <c r="A55" s="174"/>
      <c r="B55" s="536"/>
      <c r="C55" s="127" t="s">
        <v>93</v>
      </c>
      <c r="D55" s="97"/>
      <c r="E55" s="97">
        <v>4000000</v>
      </c>
      <c r="F55" s="97">
        <v>4810000</v>
      </c>
      <c r="G55" s="98"/>
      <c r="H55" s="372">
        <v>0</v>
      </c>
      <c r="I55" s="97"/>
      <c r="J55" s="142"/>
      <c r="K55" s="143"/>
      <c r="L55" s="142"/>
      <c r="M55" s="142"/>
      <c r="N55" s="142"/>
      <c r="O55" s="142"/>
      <c r="P55" s="142"/>
      <c r="Q55" s="144"/>
      <c r="R55" s="145"/>
    </row>
    <row r="56" spans="1:19" ht="21" customHeight="1">
      <c r="A56" s="174"/>
      <c r="B56" s="536"/>
      <c r="C56" s="127" t="s">
        <v>239</v>
      </c>
      <c r="D56" s="97"/>
      <c r="E56" s="97"/>
      <c r="F56" s="97">
        <v>14000000</v>
      </c>
      <c r="G56" s="98">
        <v>9000000</v>
      </c>
      <c r="H56" s="372">
        <v>7000000</v>
      </c>
      <c r="I56" s="97"/>
      <c r="J56" s="142"/>
      <c r="K56" s="143"/>
      <c r="L56" s="142"/>
      <c r="M56" s="142"/>
      <c r="N56" s="142"/>
      <c r="O56" s="142"/>
      <c r="P56" s="142"/>
      <c r="Q56" s="144"/>
      <c r="R56" s="145"/>
    </row>
    <row r="57" spans="1:19" ht="36.75" customHeight="1">
      <c r="A57" s="174"/>
      <c r="B57" s="536"/>
      <c r="C57" s="127" t="s">
        <v>240</v>
      </c>
      <c r="D57" s="97"/>
      <c r="E57" s="97"/>
      <c r="F57" s="97"/>
      <c r="G57" s="98"/>
      <c r="H57" s="372">
        <v>4500000</v>
      </c>
      <c r="I57" s="97"/>
      <c r="J57" s="142"/>
      <c r="K57" s="143"/>
      <c r="L57" s="142"/>
      <c r="M57" s="142"/>
      <c r="N57" s="142"/>
      <c r="O57" s="142"/>
      <c r="P57" s="142"/>
      <c r="Q57" s="144"/>
      <c r="R57" s="145"/>
    </row>
    <row r="58" spans="1:19" ht="68.25" customHeight="1">
      <c r="A58" s="174"/>
      <c r="B58" s="536"/>
      <c r="C58" s="146" t="s">
        <v>101</v>
      </c>
      <c r="D58" s="97">
        <v>13695715</v>
      </c>
      <c r="E58" s="97">
        <v>15733115</v>
      </c>
      <c r="F58" s="97">
        <v>3719761</v>
      </c>
      <c r="G58" s="98">
        <v>1245475</v>
      </c>
      <c r="H58" s="372">
        <v>427077</v>
      </c>
      <c r="I58" s="97"/>
      <c r="J58" s="142"/>
      <c r="K58" s="143"/>
      <c r="L58" s="142"/>
      <c r="M58" s="142"/>
      <c r="N58" s="142"/>
      <c r="O58" s="142"/>
      <c r="P58" s="142"/>
      <c r="Q58" s="144"/>
      <c r="R58" s="145"/>
    </row>
    <row r="59" spans="1:19" ht="21" customHeight="1">
      <c r="A59" s="175"/>
      <c r="B59" s="536"/>
      <c r="C59" s="147" t="s">
        <v>102</v>
      </c>
      <c r="D59" s="97">
        <v>22633590</v>
      </c>
      <c r="E59" s="97">
        <v>4121265</v>
      </c>
      <c r="F59" s="97"/>
      <c r="G59" s="98"/>
      <c r="H59" s="372"/>
      <c r="I59" s="97"/>
      <c r="J59" s="142"/>
      <c r="K59" s="143"/>
      <c r="L59" s="142"/>
      <c r="M59" s="142"/>
      <c r="N59" s="142"/>
      <c r="O59" s="142"/>
      <c r="P59" s="142"/>
      <c r="Q59" s="144"/>
      <c r="R59" s="145"/>
    </row>
    <row r="60" spans="1:19" ht="29.25" customHeight="1">
      <c r="A60" s="148">
        <v>12</v>
      </c>
      <c r="B60" s="544" t="s">
        <v>103</v>
      </c>
      <c r="C60" s="544"/>
      <c r="D60" s="149">
        <f t="shared" ref="D60:J60" si="9">D35-D36+D53</f>
        <v>19854380.359999999</v>
      </c>
      <c r="E60" s="149">
        <f t="shared" si="9"/>
        <v>3719761.4299999997</v>
      </c>
      <c r="F60" s="360">
        <f t="shared" si="9"/>
        <v>1245475</v>
      </c>
      <c r="G60" s="361">
        <f>G35-G36+G53</f>
        <v>427077</v>
      </c>
      <c r="H60" s="361">
        <f>H35-H36+H53</f>
        <v>0</v>
      </c>
      <c r="I60" s="150">
        <f>I35-I36+I53</f>
        <v>0</v>
      </c>
      <c r="J60" s="150">
        <f t="shared" si="9"/>
        <v>0</v>
      </c>
      <c r="K60" s="150">
        <f>K35-K36+K53</f>
        <v>0</v>
      </c>
      <c r="L60" s="149">
        <f t="shared" ref="L60:R60" si="10">L35-L36-L53</f>
        <v>0</v>
      </c>
      <c r="M60" s="149">
        <f t="shared" si="10"/>
        <v>0</v>
      </c>
      <c r="N60" s="149">
        <f t="shared" si="10"/>
        <v>0</v>
      </c>
      <c r="O60" s="149">
        <f t="shared" si="10"/>
        <v>-0.25999999977648258</v>
      </c>
      <c r="P60" s="149">
        <f t="shared" si="10"/>
        <v>0.4599999999627471</v>
      </c>
      <c r="Q60" s="151">
        <f t="shared" si="10"/>
        <v>0</v>
      </c>
      <c r="R60" s="152">
        <f t="shared" si="10"/>
        <v>0</v>
      </c>
    </row>
    <row r="61" spans="1:19" ht="22.5" customHeight="1">
      <c r="A61" s="153">
        <v>13</v>
      </c>
      <c r="B61" s="545" t="s">
        <v>104</v>
      </c>
      <c r="C61" s="545"/>
      <c r="D61" s="115">
        <f>'Prognoza długu'!C10</f>
        <v>15733115</v>
      </c>
      <c r="E61" s="115">
        <f>'Prognoza długu'!D10</f>
        <v>24061046</v>
      </c>
      <c r="F61" s="115">
        <f>'Prognoza długu'!E10</f>
        <v>45737732</v>
      </c>
      <c r="G61" s="116">
        <f>'Prognoza długu'!F10</f>
        <v>47797647</v>
      </c>
      <c r="H61" s="375">
        <f>'Prognoza długu'!G10</f>
        <v>57246062</v>
      </c>
      <c r="I61" s="116">
        <f>'Prognoza długu'!H10</f>
        <v>50311022</v>
      </c>
      <c r="J61" s="116">
        <f>'Prognoza długu'!I10</f>
        <v>43044123</v>
      </c>
      <c r="K61" s="116">
        <f>'Prognoza długu'!J10</f>
        <v>35937670</v>
      </c>
      <c r="L61" s="116">
        <f>'Prognoza długu'!K10</f>
        <v>29787670</v>
      </c>
      <c r="M61" s="115">
        <f>'Prognoza długu'!L10</f>
        <v>23537670</v>
      </c>
      <c r="N61" s="115">
        <f>'Prognoza długu'!M10</f>
        <v>16736500</v>
      </c>
      <c r="O61" s="115">
        <f>'Prognoza długu'!N10</f>
        <v>11674472</v>
      </c>
      <c r="P61" s="115">
        <f>'Prognoza długu'!O10</f>
        <v>8223949</v>
      </c>
      <c r="Q61" s="124">
        <f>'Prognoza długu'!P10</f>
        <v>4523949</v>
      </c>
      <c r="R61" s="125">
        <f>'Prognoza długu'!Q10</f>
        <v>0</v>
      </c>
      <c r="S61" s="33"/>
    </row>
    <row r="62" spans="1:19" ht="65.25" customHeight="1">
      <c r="A62" s="540"/>
      <c r="B62" s="541" t="s">
        <v>74</v>
      </c>
      <c r="C62" s="101" t="s">
        <v>105</v>
      </c>
      <c r="D62" s="112">
        <v>0</v>
      </c>
      <c r="E62" s="112">
        <v>0</v>
      </c>
      <c r="F62" s="112">
        <v>0</v>
      </c>
      <c r="G62" s="105">
        <v>0</v>
      </c>
      <c r="H62" s="373">
        <v>2500000</v>
      </c>
      <c r="I62" s="105">
        <v>2450000</v>
      </c>
      <c r="J62" s="105">
        <v>2400000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</row>
    <row r="63" spans="1:19" ht="87.75" customHeight="1">
      <c r="A63" s="540"/>
      <c r="B63" s="541"/>
      <c r="C63" s="101" t="s">
        <v>258</v>
      </c>
      <c r="D63" s="112">
        <v>0</v>
      </c>
      <c r="E63" s="112">
        <v>0</v>
      </c>
      <c r="F63" s="112">
        <v>0</v>
      </c>
      <c r="G63" s="105">
        <v>0</v>
      </c>
      <c r="H63" s="373"/>
      <c r="I63" s="105">
        <v>50000</v>
      </c>
      <c r="J63" s="105">
        <v>50000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</row>
    <row r="64" spans="1:19" ht="66" customHeight="1">
      <c r="A64" s="153">
        <v>14</v>
      </c>
      <c r="B64" s="547" t="s">
        <v>106</v>
      </c>
      <c r="C64" s="547"/>
      <c r="D64" s="112">
        <v>0</v>
      </c>
      <c r="E64" s="112">
        <v>0</v>
      </c>
      <c r="F64" s="112">
        <v>0</v>
      </c>
      <c r="G64" s="105">
        <v>0</v>
      </c>
      <c r="H64" s="373">
        <v>0</v>
      </c>
      <c r="I64" s="105">
        <v>0</v>
      </c>
      <c r="J64" s="105">
        <v>0</v>
      </c>
      <c r="K64" s="105">
        <v>0</v>
      </c>
      <c r="L64" s="105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</row>
    <row r="65" spans="1:19" ht="39" customHeight="1">
      <c r="A65" s="153">
        <v>15</v>
      </c>
      <c r="B65" s="547" t="s">
        <v>244</v>
      </c>
      <c r="C65" s="547"/>
      <c r="D65" s="154">
        <f t="shared" ref="D65:J65" si="11">D28/D13*100</f>
        <v>1.959634752176012</v>
      </c>
      <c r="E65" s="154">
        <f t="shared" si="11"/>
        <v>2.3282594878968572</v>
      </c>
      <c r="F65" s="154">
        <f t="shared" si="11"/>
        <v>5.5106596300184387</v>
      </c>
      <c r="G65" s="362">
        <f t="shared" si="11"/>
        <v>10.653694792951553</v>
      </c>
      <c r="H65" s="376">
        <f t="shared" si="11"/>
        <v>5.7693548132411818</v>
      </c>
      <c r="I65" s="362">
        <f t="shared" si="11"/>
        <v>5.5641464775045817</v>
      </c>
      <c r="J65" s="362">
        <f t="shared" si="11"/>
        <v>8.7402325219505439</v>
      </c>
      <c r="K65" s="362"/>
      <c r="L65" s="362"/>
      <c r="M65" s="154"/>
      <c r="N65" s="154"/>
      <c r="O65" s="154"/>
      <c r="P65" s="154"/>
      <c r="Q65" s="154"/>
      <c r="R65" s="155"/>
    </row>
    <row r="66" spans="1:19" ht="39" customHeight="1">
      <c r="A66" s="153">
        <v>16</v>
      </c>
      <c r="B66" s="547" t="s">
        <v>243</v>
      </c>
      <c r="C66" s="547"/>
      <c r="D66" s="154">
        <f t="shared" ref="D66:J66" si="12">D61/D13*100</f>
        <v>20.922637275627366</v>
      </c>
      <c r="E66" s="154">
        <f t="shared" si="12"/>
        <v>29.735586739681374</v>
      </c>
      <c r="F66" s="154">
        <f t="shared" si="12"/>
        <v>55.982746471274993</v>
      </c>
      <c r="G66" s="362">
        <f t="shared" si="12"/>
        <v>56.169150560182658</v>
      </c>
      <c r="H66" s="376">
        <f>H61/H13*100</f>
        <v>47.979939937890158</v>
      </c>
      <c r="I66" s="363">
        <f t="shared" si="12"/>
        <v>30.319508091251151</v>
      </c>
      <c r="J66" s="363">
        <f t="shared" si="12"/>
        <v>37.796019459362519</v>
      </c>
      <c r="K66" s="363"/>
      <c r="L66" s="363"/>
      <c r="M66" s="156"/>
      <c r="N66" s="156"/>
      <c r="O66" s="156"/>
      <c r="P66" s="156"/>
      <c r="Q66" s="156"/>
      <c r="R66" s="156"/>
    </row>
    <row r="67" spans="1:19" ht="66.75" customHeight="1">
      <c r="A67" s="157">
        <v>17</v>
      </c>
      <c r="B67" s="547" t="s">
        <v>107</v>
      </c>
      <c r="C67" s="547"/>
      <c r="D67" s="158" t="s">
        <v>73</v>
      </c>
      <c r="E67" s="158" t="s">
        <v>73</v>
      </c>
      <c r="F67" s="158" t="s">
        <v>73</v>
      </c>
      <c r="G67" s="364">
        <f>1/3*((D14+D16-'Prognoza długu'!C25)/WPF!D13+(WPF!E14+WPF!E16-'Prognoza długu'!D25)/WPF!E13+(WPF!F14+WPF!F16-'Prognoza długu'!E25)/WPF!F13)</f>
        <v>0.1910646731760649</v>
      </c>
      <c r="H67" s="377">
        <f>1/3*((E14+E16-'Prognoza długu'!D25)/WPF!E13+(WPF!F14+WPF!F16-'Prognoza długu'!E25)/WPF!F13+(WPF!G14+WPF!G16-'Prognoza długu'!F25)/WPF!G13)</f>
        <v>0.1291721492426357</v>
      </c>
      <c r="I67" s="364">
        <f>1/3*((F14+F16-'Prognoza długu'!E25)/WPF!F13+(WPF!G14+WPF!G16-'Prognoza długu'!F25)/WPF!G13+(WPF!H14+WPF!H16-'Prognoza długu'!G25)/WPF!H13)</f>
        <v>0.11252278759377882</v>
      </c>
      <c r="J67" s="364">
        <f>1/3*((G14+G16-'Prognoza długu'!F25)/WPF!G13+(WPF!H14+WPF!H16-'Prognoza długu'!G25)/WPF!H13+(WPF!I14+WPF!I16-'Prognoza długu'!H25)/WPF!I13)</f>
        <v>0.15475320240348389</v>
      </c>
      <c r="K67" s="364">
        <f>1/3*((H14+H16-'Prognoza długu'!G25)/WPF!H13+(WPF!I14+WPF!I16-'Prognoza długu'!H25)/WPF!I13+(WPF!J14+WPF!J16-'Prognoza długu'!I25)/WPF!J13)</f>
        <v>0.21249056120692361</v>
      </c>
      <c r="L67" s="364">
        <f>1/3*((I14+I16-'Prognoza długu'!H25)/WPF!I13+(WPF!J14+WPF!J16-'Prognoza długu'!I25)/WPF!J13+(WPF!K14+WPF!K16-'Prognoza długu'!J25)/WPF!K13)</f>
        <v>0.21963670744728794</v>
      </c>
      <c r="M67" s="158">
        <f>1/3*((J14+J16-'Prognoza długu'!I25)/WPF!J13+(WPF!K14+WPF!K16-'Prognoza długu'!J25)/WPF!K13+(WPF!L14+WPF!L16-'Prognoza długu'!K25)/WPF!L13)</f>
        <v>0.21705213415228644</v>
      </c>
      <c r="N67" s="158">
        <f>1/3*((K14+K16-'Prognoza długu'!J25)/WPF!K13+(WPF!L14+WPF!L16-'Prognoza długu'!K25)/WPF!L13+(WPF!M14+WPF!M16-'Prognoza długu'!L25)/WPF!M13)</f>
        <v>0.18526044274631787</v>
      </c>
      <c r="O67" s="158">
        <f>1/3*((L14+L16-'Prognoza długu'!K25)/WPF!L13+(WPF!M14+WPF!M16-'Prognoza długu'!L25)/WPF!M13+(WPF!N14+WPF!N16-'Prognoza długu'!M25)/WPF!N13)</f>
        <v>0.17637667194922407</v>
      </c>
      <c r="P67" s="158">
        <f>1/3*((M14+M16-'Prognoza długu'!L25)/WPF!M13+(WPF!N14+WPF!N16-'Prognoza długu'!M25)/WPF!N13+(WPF!O14+WPF!O16-'Prognoza długu'!N25)/WPF!O13)</f>
        <v>0.1181715829791177</v>
      </c>
      <c r="Q67" s="158">
        <f>1/3*((N14+N16-'Prognoza długu'!M25)/WPF!N13+(WPF!O14+WPF!O16-'Prognoza długu'!N25)/WPF!O13+(WPF!P14+WPF!P16-'Prognoza długu'!O25)/WPF!P13)</f>
        <v>7.7389036963980834E-2</v>
      </c>
      <c r="R67" s="158">
        <f>1/3*((O14+O16-'Prognoza długu'!N25)/WPF!O13+(WPF!P14+WPF!P16-'Prognoza długu'!O25)/WPF!P13+(WPF!Q14+WPF!Q16-'Prognoza długu'!P25)/WPF!Q13)</f>
        <v>3.6362244180010328E-2</v>
      </c>
    </row>
    <row r="68" spans="1:19" ht="33.75" customHeight="1">
      <c r="A68" s="157">
        <v>18</v>
      </c>
      <c r="B68" s="547" t="s">
        <v>108</v>
      </c>
      <c r="C68" s="547"/>
      <c r="D68" s="159">
        <f>D28/D13</f>
        <v>1.9596347521760121E-2</v>
      </c>
      <c r="E68" s="159">
        <f t="shared" ref="E68:R68" si="13">E28/E13</f>
        <v>2.3282594878968572E-2</v>
      </c>
      <c r="F68" s="159">
        <f t="shared" si="13"/>
        <v>5.5106596300184385E-2</v>
      </c>
      <c r="G68" s="365">
        <f t="shared" si="13"/>
        <v>0.10653694792951553</v>
      </c>
      <c r="H68" s="378">
        <f t="shared" si="13"/>
        <v>5.7693548132411815E-2</v>
      </c>
      <c r="I68" s="365">
        <f t="shared" si="13"/>
        <v>5.5641464775045814E-2</v>
      </c>
      <c r="J68" s="365">
        <f t="shared" si="13"/>
        <v>8.7402325219505431E-2</v>
      </c>
      <c r="K68" s="365">
        <f t="shared" si="13"/>
        <v>9.2248663927936278E-2</v>
      </c>
      <c r="L68" s="365">
        <f t="shared" si="13"/>
        <v>6.8525765323526167E-2</v>
      </c>
      <c r="M68" s="159">
        <f t="shared" si="13"/>
        <v>7.5197204153146152E-2</v>
      </c>
      <c r="N68" s="159">
        <f t="shared" si="13"/>
        <v>7.6395819829638653E-2</v>
      </c>
      <c r="O68" s="159">
        <f t="shared" si="13"/>
        <v>5.5370410864514823E-2</v>
      </c>
      <c r="P68" s="159">
        <f t="shared" si="13"/>
        <v>3.7888891964635768E-2</v>
      </c>
      <c r="Q68" s="159">
        <f t="shared" si="13"/>
        <v>3.6637424200021716E-2</v>
      </c>
      <c r="R68" s="159">
        <f t="shared" si="13"/>
        <v>3.6120506737093647E-2</v>
      </c>
    </row>
    <row r="69" spans="1:19" ht="38.25" customHeight="1">
      <c r="A69" s="157">
        <v>19</v>
      </c>
      <c r="B69" s="547" t="s">
        <v>109</v>
      </c>
      <c r="C69" s="547"/>
      <c r="D69" s="158" t="s">
        <v>73</v>
      </c>
      <c r="E69" s="158" t="s">
        <v>73</v>
      </c>
      <c r="F69" s="158" t="s">
        <v>73</v>
      </c>
      <c r="G69" s="364">
        <f>G67-G68</f>
        <v>8.4527725246549376E-2</v>
      </c>
      <c r="H69" s="377">
        <f t="shared" ref="H69:R69" si="14">H67-H68</f>
        <v>7.1478601110223888E-2</v>
      </c>
      <c r="I69" s="364">
        <f t="shared" si="14"/>
        <v>5.6881322818733003E-2</v>
      </c>
      <c r="J69" s="364">
        <f t="shared" si="14"/>
        <v>6.7350877183978461E-2</v>
      </c>
      <c r="K69" s="364">
        <f t="shared" si="14"/>
        <v>0.12024189727898733</v>
      </c>
      <c r="L69" s="364">
        <f t="shared" si="14"/>
        <v>0.15111094212376178</v>
      </c>
      <c r="M69" s="364">
        <f t="shared" si="14"/>
        <v>0.14185492999914029</v>
      </c>
      <c r="N69" s="364">
        <f t="shared" si="14"/>
        <v>0.10886462291667921</v>
      </c>
      <c r="O69" s="364">
        <f t="shared" si="14"/>
        <v>0.12100626108470924</v>
      </c>
      <c r="P69" s="364">
        <f t="shared" si="14"/>
        <v>8.0282691014481933E-2</v>
      </c>
      <c r="Q69" s="364">
        <f t="shared" si="14"/>
        <v>4.0751612763959118E-2</v>
      </c>
      <c r="R69" s="364">
        <f t="shared" si="14"/>
        <v>2.4173744291668131E-4</v>
      </c>
    </row>
    <row r="70" spans="1:19" ht="16.5" customHeight="1">
      <c r="A70" s="157">
        <v>20</v>
      </c>
      <c r="B70" s="547" t="s">
        <v>110</v>
      </c>
      <c r="C70" s="547"/>
      <c r="D70" s="160">
        <f>'Prognoza długu'!C24</f>
        <v>93858939.640000001</v>
      </c>
      <c r="E70" s="160">
        <f>'Prognoza długu'!D24</f>
        <v>107175456.56999999</v>
      </c>
      <c r="F70" s="160">
        <f>'Prognoza długu'!E24</f>
        <v>105850665</v>
      </c>
      <c r="G70" s="160">
        <f>'Prognoza długu'!F24</f>
        <v>87934218</v>
      </c>
      <c r="H70" s="379">
        <f>'Prognoza długu'!G24</f>
        <v>129187984</v>
      </c>
      <c r="I70" s="160">
        <f>'Prognoza długu'!H24</f>
        <v>159001102</v>
      </c>
      <c r="J70" s="160">
        <f>'Prognoza długu'!I24</f>
        <v>106618435</v>
      </c>
      <c r="K70" s="160">
        <f>'Prognoza długu'!J24</f>
        <v>94541133</v>
      </c>
      <c r="L70" s="160">
        <f>'Prognoza długu'!K24</f>
        <v>112608338</v>
      </c>
      <c r="M70" s="160">
        <f>'Prognoza długu'!L24</f>
        <v>99598430</v>
      </c>
      <c r="N70" s="160">
        <f>'Prognoza długu'!M24</f>
        <v>101305046</v>
      </c>
      <c r="O70" s="160">
        <f>'Prognoza długu'!N24</f>
        <v>105996553.26000001</v>
      </c>
      <c r="P70" s="160">
        <f>'Prognoza długu'!O24</f>
        <v>107236232.54000001</v>
      </c>
      <c r="Q70" s="160">
        <f>'Prognoza długu'!P24</f>
        <v>110733575.43000001</v>
      </c>
      <c r="R70" s="160">
        <f>'Prognoza długu'!Q24</f>
        <v>126134692.32250001</v>
      </c>
    </row>
    <row r="71" spans="1:19" ht="16.5" customHeight="1">
      <c r="A71" s="157">
        <v>21</v>
      </c>
      <c r="B71" s="547" t="s">
        <v>111</v>
      </c>
      <c r="C71" s="547"/>
      <c r="D71" s="160">
        <f>'Prognoza długu'!C25</f>
        <v>55125811</v>
      </c>
      <c r="E71" s="160">
        <f>'Prognoza długu'!D25</f>
        <v>63862781</v>
      </c>
      <c r="F71" s="160">
        <f>'Prognoza długu'!E25</f>
        <v>72590083</v>
      </c>
      <c r="G71" s="160">
        <f>'Prognoza długu'!F25</f>
        <v>78155472</v>
      </c>
      <c r="H71" s="379">
        <f>'Prognoza długu'!G25</f>
        <v>85165003</v>
      </c>
      <c r="I71" s="160">
        <f>'Prognoza długu'!H25</f>
        <v>81478643</v>
      </c>
      <c r="J71" s="160">
        <f>'Prognoza długu'!I25</f>
        <v>81707174</v>
      </c>
      <c r="K71" s="160">
        <f>'Prognoza długu'!J25</f>
        <v>83141133</v>
      </c>
      <c r="L71" s="160">
        <f>'Prognoza długu'!K25</f>
        <v>83608338</v>
      </c>
      <c r="M71" s="160">
        <f>'Prognoza długu'!L25</f>
        <v>89598430</v>
      </c>
      <c r="N71" s="160">
        <f>'Prognoza długu'!M25</f>
        <v>91305046</v>
      </c>
      <c r="O71" s="160">
        <f>'Prognoza długu'!N25</f>
        <v>105996553.26000001</v>
      </c>
      <c r="P71" s="160">
        <f>'Prognoza długu'!O25</f>
        <v>107236232.54000001</v>
      </c>
      <c r="Q71" s="160">
        <f>'Prognoza długu'!P25</f>
        <v>110733575.43000001</v>
      </c>
      <c r="R71" s="160">
        <f>'Prognoza długu'!Q25</f>
        <v>114134692.32250001</v>
      </c>
    </row>
    <row r="72" spans="1:19" ht="35.25" customHeight="1">
      <c r="A72" s="157">
        <v>22</v>
      </c>
      <c r="B72" s="547" t="s">
        <v>141</v>
      </c>
      <c r="C72" s="547"/>
      <c r="D72" s="160">
        <f>D13-D70</f>
        <v>-18662324.640000001</v>
      </c>
      <c r="E72" s="160">
        <f t="shared" ref="E72:Q72" si="15">E13-E70</f>
        <v>-26258788.569999993</v>
      </c>
      <c r="F72" s="160">
        <f t="shared" si="15"/>
        <v>-24150972</v>
      </c>
      <c r="G72" s="160">
        <f t="shared" si="15"/>
        <v>-2838313</v>
      </c>
      <c r="H72" s="379">
        <f t="shared" si="15"/>
        <v>-9875492</v>
      </c>
      <c r="I72" s="160">
        <f t="shared" si="15"/>
        <v>6935040</v>
      </c>
      <c r="J72" s="160">
        <f t="shared" si="15"/>
        <v>7266899</v>
      </c>
      <c r="K72" s="160">
        <f t="shared" si="15"/>
        <v>7106453</v>
      </c>
      <c r="L72" s="160">
        <f t="shared" si="15"/>
        <v>6150000</v>
      </c>
      <c r="M72" s="160">
        <f t="shared" si="15"/>
        <v>6250000</v>
      </c>
      <c r="N72" s="160">
        <f t="shared" si="15"/>
        <v>6801170</v>
      </c>
      <c r="O72" s="160">
        <f t="shared" si="15"/>
        <v>5062027.7399999946</v>
      </c>
      <c r="P72" s="160">
        <f t="shared" si="15"/>
        <v>3450523.4599999934</v>
      </c>
      <c r="Q72" s="160">
        <f t="shared" si="15"/>
        <v>3699999.5699999928</v>
      </c>
      <c r="R72" s="160">
        <f>R13-R70</f>
        <v>4523948.6774999946</v>
      </c>
    </row>
    <row r="73" spans="1:19" ht="17.25" customHeight="1">
      <c r="A73" s="153">
        <v>23</v>
      </c>
      <c r="B73" s="532" t="s">
        <v>234</v>
      </c>
      <c r="C73" s="533"/>
      <c r="D73" s="112">
        <f>SUM(D74:D78)</f>
        <v>3355000</v>
      </c>
      <c r="E73" s="112">
        <f t="shared" ref="E73:H73" si="16">SUM(E74:E78)</f>
        <v>26258789</v>
      </c>
      <c r="F73" s="112">
        <f t="shared" si="16"/>
        <v>24150972</v>
      </c>
      <c r="G73" s="112">
        <f t="shared" si="16"/>
        <v>2838313</v>
      </c>
      <c r="H73" s="373">
        <f t="shared" si="16"/>
        <v>9875492</v>
      </c>
      <c r="I73" s="160"/>
      <c r="J73" s="160"/>
      <c r="K73" s="160"/>
      <c r="L73" s="160"/>
      <c r="M73" s="160"/>
      <c r="N73" s="160"/>
      <c r="O73" s="160"/>
      <c r="P73" s="160"/>
      <c r="Q73" s="160"/>
      <c r="R73" s="160"/>
    </row>
    <row r="74" spans="1:19" ht="15" customHeight="1">
      <c r="A74" s="161" t="s">
        <v>69</v>
      </c>
      <c r="B74" s="534" t="s">
        <v>92</v>
      </c>
      <c r="C74" s="533"/>
      <c r="D74" s="97">
        <v>3355000</v>
      </c>
      <c r="E74" s="97">
        <v>7546170</v>
      </c>
      <c r="F74" s="97">
        <v>6330000</v>
      </c>
      <c r="G74" s="97"/>
      <c r="H74" s="372">
        <v>2500000</v>
      </c>
      <c r="I74" s="160"/>
      <c r="J74" s="160"/>
      <c r="K74" s="160"/>
      <c r="L74" s="160"/>
      <c r="M74" s="160"/>
      <c r="N74" s="160"/>
      <c r="O74" s="160"/>
      <c r="P74" s="160"/>
      <c r="Q74" s="160"/>
      <c r="R74" s="160"/>
    </row>
    <row r="75" spans="1:19" ht="15" customHeight="1">
      <c r="A75" s="161" t="s">
        <v>71</v>
      </c>
      <c r="B75" s="534" t="s">
        <v>93</v>
      </c>
      <c r="C75" s="533"/>
      <c r="D75" s="97"/>
      <c r="E75" s="97">
        <v>4000000</v>
      </c>
      <c r="F75" s="97">
        <v>4810000</v>
      </c>
      <c r="G75" s="97"/>
      <c r="H75" s="372"/>
      <c r="I75" s="160"/>
      <c r="J75" s="160"/>
      <c r="K75" s="160"/>
      <c r="L75" s="160"/>
      <c r="M75" s="160"/>
      <c r="N75" s="160"/>
      <c r="O75" s="160"/>
      <c r="P75" s="160"/>
      <c r="Q75" s="160"/>
      <c r="R75" s="160"/>
    </row>
    <row r="76" spans="1:19" ht="15" customHeight="1">
      <c r="A76" s="161" t="s">
        <v>79</v>
      </c>
      <c r="B76" s="534" t="s">
        <v>232</v>
      </c>
      <c r="C76" s="533"/>
      <c r="D76" s="97"/>
      <c r="E76" s="97">
        <v>2699265</v>
      </c>
      <c r="F76" s="97"/>
      <c r="G76" s="97"/>
      <c r="H76" s="372"/>
      <c r="I76" s="160"/>
      <c r="J76" s="160"/>
      <c r="K76" s="160"/>
      <c r="L76" s="160"/>
      <c r="M76" s="160"/>
      <c r="N76" s="160"/>
      <c r="O76" s="160"/>
      <c r="P76" s="160"/>
      <c r="Q76" s="160"/>
      <c r="R76" s="160"/>
    </row>
    <row r="77" spans="1:19" ht="15" customHeight="1">
      <c r="A77" s="161" t="s">
        <v>82</v>
      </c>
      <c r="B77" s="549" t="s">
        <v>101</v>
      </c>
      <c r="C77" s="533"/>
      <c r="D77" s="97"/>
      <c r="E77" s="97">
        <v>12013354</v>
      </c>
      <c r="F77" s="97"/>
      <c r="G77" s="97"/>
      <c r="H77" s="372">
        <v>375492</v>
      </c>
      <c r="I77" s="160"/>
      <c r="J77" s="160"/>
      <c r="K77" s="160"/>
      <c r="L77" s="160"/>
      <c r="M77" s="160"/>
      <c r="N77" s="160"/>
      <c r="O77" s="160"/>
      <c r="P77" s="160"/>
      <c r="Q77" s="160"/>
      <c r="R77" s="160"/>
    </row>
    <row r="78" spans="1:19" ht="15" customHeight="1">
      <c r="A78" s="161" t="s">
        <v>143</v>
      </c>
      <c r="B78" s="550" t="s">
        <v>237</v>
      </c>
      <c r="C78" s="551"/>
      <c r="D78" s="97"/>
      <c r="E78" s="97"/>
      <c r="F78" s="97">
        <v>13010972</v>
      </c>
      <c r="G78" s="97">
        <v>2838313</v>
      </c>
      <c r="H78" s="372">
        <v>7000000</v>
      </c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358"/>
    </row>
    <row r="79" spans="1:19" ht="17.25" customHeight="1">
      <c r="A79" s="153">
        <v>24</v>
      </c>
      <c r="B79" s="532" t="s">
        <v>235</v>
      </c>
      <c r="C79" s="533"/>
      <c r="D79" s="112"/>
      <c r="E79" s="112"/>
      <c r="F79" s="112"/>
      <c r="G79" s="112"/>
      <c r="H79" s="373"/>
      <c r="I79" s="160">
        <f>SUM(I80:I82)</f>
        <v>6935040</v>
      </c>
      <c r="J79" s="160">
        <f t="shared" ref="J79:R79" si="17">SUM(J80:J82)</f>
        <v>7266899</v>
      </c>
      <c r="K79" s="160">
        <f t="shared" si="17"/>
        <v>7106453</v>
      </c>
      <c r="L79" s="160">
        <f t="shared" si="17"/>
        <v>6150000</v>
      </c>
      <c r="M79" s="160">
        <f t="shared" si="17"/>
        <v>6250000</v>
      </c>
      <c r="N79" s="160">
        <f t="shared" si="17"/>
        <v>6801170</v>
      </c>
      <c r="O79" s="160">
        <f t="shared" si="17"/>
        <v>5062028</v>
      </c>
      <c r="P79" s="160">
        <f t="shared" si="17"/>
        <v>3450523</v>
      </c>
      <c r="Q79" s="160">
        <f t="shared" si="17"/>
        <v>3700000</v>
      </c>
      <c r="R79" s="160">
        <f t="shared" si="17"/>
        <v>4523949</v>
      </c>
      <c r="S79" s="359"/>
    </row>
    <row r="80" spans="1:19" ht="15" customHeight="1">
      <c r="A80" s="162" t="s">
        <v>69</v>
      </c>
      <c r="B80" s="534" t="s">
        <v>231</v>
      </c>
      <c r="C80" s="533"/>
      <c r="D80" s="121"/>
      <c r="E80" s="98"/>
      <c r="F80" s="98"/>
      <c r="G80" s="163"/>
      <c r="H80" s="372"/>
      <c r="I80" s="164">
        <f>I30</f>
        <v>3535040</v>
      </c>
      <c r="J80" s="164">
        <f>J30</f>
        <v>3666899</v>
      </c>
      <c r="K80" s="164">
        <f t="shared" ref="K80:R80" si="18">K30</f>
        <v>3506453</v>
      </c>
      <c r="L80" s="164">
        <f t="shared" si="18"/>
        <v>2550000</v>
      </c>
      <c r="M80" s="164">
        <f t="shared" si="18"/>
        <v>2550000</v>
      </c>
      <c r="N80" s="164">
        <f t="shared" si="18"/>
        <v>2401170</v>
      </c>
      <c r="O80" s="164">
        <f t="shared" si="18"/>
        <v>62028</v>
      </c>
      <c r="P80" s="164">
        <f t="shared" si="18"/>
        <v>750523</v>
      </c>
      <c r="Q80" s="164">
        <f t="shared" si="18"/>
        <v>1000000</v>
      </c>
      <c r="R80" s="164">
        <f t="shared" si="18"/>
        <v>423949</v>
      </c>
      <c r="S80" s="358"/>
    </row>
    <row r="81" spans="1:18" ht="15" customHeight="1">
      <c r="A81" s="162" t="s">
        <v>71</v>
      </c>
      <c r="B81" s="534" t="s">
        <v>236</v>
      </c>
      <c r="C81" s="533"/>
      <c r="D81" s="121"/>
      <c r="E81" s="98"/>
      <c r="F81" s="98"/>
      <c r="G81" s="163"/>
      <c r="H81" s="372"/>
      <c r="I81" s="164">
        <f t="shared" ref="I81:J82" si="19">I31</f>
        <v>400000</v>
      </c>
      <c r="J81" s="164">
        <f t="shared" si="19"/>
        <v>600000</v>
      </c>
      <c r="K81" s="164">
        <f t="shared" ref="K81:R81" si="20">K31</f>
        <v>600000</v>
      </c>
      <c r="L81" s="164">
        <f t="shared" si="20"/>
        <v>600000</v>
      </c>
      <c r="M81" s="164">
        <f t="shared" si="20"/>
        <v>700000</v>
      </c>
      <c r="N81" s="164">
        <f t="shared" si="20"/>
        <v>1400000</v>
      </c>
      <c r="O81" s="164">
        <f t="shared" si="20"/>
        <v>0</v>
      </c>
      <c r="P81" s="164">
        <f t="shared" si="20"/>
        <v>0</v>
      </c>
      <c r="Q81" s="164">
        <f t="shared" si="20"/>
        <v>0</v>
      </c>
      <c r="R81" s="164">
        <f t="shared" si="20"/>
        <v>0</v>
      </c>
    </row>
    <row r="82" spans="1:18" ht="15" customHeight="1">
      <c r="A82" s="162" t="s">
        <v>79</v>
      </c>
      <c r="B82" s="534" t="s">
        <v>94</v>
      </c>
      <c r="C82" s="533"/>
      <c r="D82" s="121"/>
      <c r="E82" s="98"/>
      <c r="F82" s="98"/>
      <c r="G82" s="163"/>
      <c r="H82" s="372"/>
      <c r="I82" s="164">
        <f t="shared" si="19"/>
        <v>3000000</v>
      </c>
      <c r="J82" s="164">
        <f t="shared" si="19"/>
        <v>3000000</v>
      </c>
      <c r="K82" s="164">
        <f t="shared" ref="K82:R82" si="21">K32</f>
        <v>3000000</v>
      </c>
      <c r="L82" s="164">
        <f t="shared" si="21"/>
        <v>3000000</v>
      </c>
      <c r="M82" s="164">
        <f t="shared" si="21"/>
        <v>3000000</v>
      </c>
      <c r="N82" s="164">
        <f t="shared" si="21"/>
        <v>3000000</v>
      </c>
      <c r="O82" s="164">
        <f t="shared" si="21"/>
        <v>5000000</v>
      </c>
      <c r="P82" s="164">
        <f t="shared" si="21"/>
        <v>2700000</v>
      </c>
      <c r="Q82" s="164">
        <f t="shared" si="21"/>
        <v>2700000</v>
      </c>
      <c r="R82" s="164">
        <f t="shared" si="21"/>
        <v>4100000</v>
      </c>
    </row>
    <row r="83" spans="1:18" ht="19.5" customHeight="1">
      <c r="A83" s="157">
        <v>25</v>
      </c>
      <c r="B83" s="547" t="s">
        <v>112</v>
      </c>
      <c r="C83" s="547"/>
      <c r="D83" s="160">
        <f>D53</f>
        <v>3355000</v>
      </c>
      <c r="E83" s="160">
        <f t="shared" ref="E83:R83" si="22">E53</f>
        <v>11546170</v>
      </c>
      <c r="F83" s="160">
        <f t="shared" si="22"/>
        <v>25140000</v>
      </c>
      <c r="G83" s="369">
        <f t="shared" si="22"/>
        <v>9000000</v>
      </c>
      <c r="H83" s="379">
        <f t="shared" si="22"/>
        <v>14000000</v>
      </c>
      <c r="I83" s="160">
        <f t="shared" si="22"/>
        <v>0</v>
      </c>
      <c r="J83" s="160">
        <f t="shared" si="22"/>
        <v>0</v>
      </c>
      <c r="K83" s="160">
        <f t="shared" si="22"/>
        <v>0</v>
      </c>
      <c r="L83" s="160">
        <f t="shared" si="22"/>
        <v>0</v>
      </c>
      <c r="M83" s="160">
        <f t="shared" si="22"/>
        <v>0</v>
      </c>
      <c r="N83" s="160">
        <f t="shared" si="22"/>
        <v>0</v>
      </c>
      <c r="O83" s="160">
        <f t="shared" si="22"/>
        <v>0</v>
      </c>
      <c r="P83" s="160">
        <f t="shared" si="22"/>
        <v>0</v>
      </c>
      <c r="Q83" s="160">
        <f t="shared" si="22"/>
        <v>0</v>
      </c>
      <c r="R83" s="160">
        <f t="shared" si="22"/>
        <v>0</v>
      </c>
    </row>
    <row r="84" spans="1:18" ht="19.5" customHeight="1">
      <c r="A84" s="165">
        <v>26</v>
      </c>
      <c r="B84" s="548" t="s">
        <v>113</v>
      </c>
      <c r="C84" s="548"/>
      <c r="D84" s="166">
        <f>D29</f>
        <v>1167600</v>
      </c>
      <c r="E84" s="166">
        <f t="shared" ref="E84:Q84" si="23">E29</f>
        <v>1422000</v>
      </c>
      <c r="F84" s="166">
        <f t="shared" si="23"/>
        <v>3463314</v>
      </c>
      <c r="G84" s="370">
        <f t="shared" si="23"/>
        <v>6940085</v>
      </c>
      <c r="H84" s="380">
        <f t="shared" si="23"/>
        <v>4551585</v>
      </c>
      <c r="I84" s="166">
        <f>I29</f>
        <v>6935040</v>
      </c>
      <c r="J84" s="166">
        <f t="shared" si="23"/>
        <v>7266899</v>
      </c>
      <c r="K84" s="166">
        <f t="shared" si="23"/>
        <v>7106453</v>
      </c>
      <c r="L84" s="166">
        <f t="shared" si="23"/>
        <v>6150000</v>
      </c>
      <c r="M84" s="166">
        <f t="shared" si="23"/>
        <v>6250000</v>
      </c>
      <c r="N84" s="166">
        <f t="shared" si="23"/>
        <v>6801170</v>
      </c>
      <c r="O84" s="166">
        <f t="shared" si="23"/>
        <v>5062028</v>
      </c>
      <c r="P84" s="166">
        <f t="shared" si="23"/>
        <v>3450523</v>
      </c>
      <c r="Q84" s="166">
        <f t="shared" si="23"/>
        <v>3700000</v>
      </c>
      <c r="R84" s="166">
        <f>R29</f>
        <v>4523949</v>
      </c>
    </row>
    <row r="85" spans="1:18" ht="15.75">
      <c r="A85" s="167"/>
      <c r="B85" s="168"/>
      <c r="C85" s="169"/>
      <c r="D85" s="170"/>
      <c r="E85" s="171"/>
      <c r="F85" s="171"/>
      <c r="G85" s="170"/>
      <c r="H85" s="171"/>
      <c r="I85" s="171"/>
      <c r="J85" s="172"/>
      <c r="K85" s="172"/>
      <c r="L85" s="172"/>
      <c r="M85" s="172"/>
      <c r="N85" s="172"/>
      <c r="O85" s="172"/>
      <c r="P85" s="172"/>
      <c r="Q85" s="172"/>
      <c r="R85" s="172"/>
    </row>
    <row r="86" spans="1:18">
      <c r="A86" s="90"/>
      <c r="B86" s="90"/>
      <c r="C86" s="87"/>
      <c r="D86" s="88"/>
      <c r="E86" s="89"/>
      <c r="F86" s="89"/>
      <c r="G86" s="88"/>
      <c r="H86" s="89"/>
      <c r="I86" s="89"/>
      <c r="J86" s="90"/>
      <c r="K86" s="90"/>
      <c r="L86" s="90"/>
      <c r="M86" s="90"/>
      <c r="N86" s="90"/>
      <c r="O86" s="90"/>
      <c r="P86" s="90"/>
      <c r="Q86" s="90"/>
      <c r="R86" s="90"/>
    </row>
    <row r="87" spans="1:18">
      <c r="A87" s="90"/>
      <c r="B87" s="90"/>
      <c r="C87" s="87"/>
      <c r="D87" s="88"/>
      <c r="E87" s="89"/>
      <c r="F87" s="89"/>
      <c r="G87" s="88"/>
      <c r="H87" s="89"/>
      <c r="I87" s="89"/>
      <c r="J87" s="90"/>
      <c r="K87" s="90"/>
      <c r="L87" s="90"/>
      <c r="M87" s="90"/>
      <c r="N87" s="90"/>
      <c r="O87" s="90"/>
      <c r="P87" s="90"/>
      <c r="Q87" s="90"/>
      <c r="R87" s="90"/>
    </row>
    <row r="88" spans="1:18">
      <c r="A88" s="90"/>
      <c r="B88" s="90"/>
      <c r="C88" s="87"/>
      <c r="D88" s="88"/>
      <c r="E88" s="89"/>
      <c r="F88" s="89"/>
      <c r="G88" s="88"/>
      <c r="H88" s="89"/>
      <c r="I88" s="89"/>
      <c r="J88" s="90"/>
      <c r="K88" s="90"/>
      <c r="L88" s="90"/>
      <c r="M88" s="90"/>
      <c r="N88" s="90"/>
      <c r="O88" s="90"/>
      <c r="P88" s="90"/>
      <c r="Q88" s="90"/>
      <c r="R88" s="90"/>
    </row>
    <row r="89" spans="1:18">
      <c r="D89" s="35"/>
      <c r="E89" s="14"/>
      <c r="F89" s="14"/>
      <c r="G89" s="35"/>
      <c r="H89" s="14"/>
      <c r="I89" s="14"/>
    </row>
  </sheetData>
  <mergeCells count="84">
    <mergeCell ref="D9:R9"/>
    <mergeCell ref="B9:C12"/>
    <mergeCell ref="A9:A12"/>
    <mergeCell ref="G11:G12"/>
    <mergeCell ref="H11:H12"/>
    <mergeCell ref="F11:F12"/>
    <mergeCell ref="E11:E12"/>
    <mergeCell ref="D11:D12"/>
    <mergeCell ref="H10:R10"/>
    <mergeCell ref="D10:G10"/>
    <mergeCell ref="M11:M12"/>
    <mergeCell ref="L11:L12"/>
    <mergeCell ref="K11:K12"/>
    <mergeCell ref="J11:J12"/>
    <mergeCell ref="I11:I12"/>
    <mergeCell ref="R11:R12"/>
    <mergeCell ref="Q11:Q12"/>
    <mergeCell ref="P11:P12"/>
    <mergeCell ref="O11:O12"/>
    <mergeCell ref="N11:N12"/>
    <mergeCell ref="B70:C70"/>
    <mergeCell ref="B64:C64"/>
    <mergeCell ref="B65:C65"/>
    <mergeCell ref="B66:C66"/>
    <mergeCell ref="B67:C67"/>
    <mergeCell ref="B68:C68"/>
    <mergeCell ref="B35:C35"/>
    <mergeCell ref="B36:C36"/>
    <mergeCell ref="B34:C34"/>
    <mergeCell ref="B15:C15"/>
    <mergeCell ref="B17:C17"/>
    <mergeCell ref="B18:B22"/>
    <mergeCell ref="B71:C71"/>
    <mergeCell ref="B72:C72"/>
    <mergeCell ref="B83:C83"/>
    <mergeCell ref="B84:C84"/>
    <mergeCell ref="B69:C69"/>
    <mergeCell ref="B75:C75"/>
    <mergeCell ref="B76:C76"/>
    <mergeCell ref="B77:C77"/>
    <mergeCell ref="B78:C78"/>
    <mergeCell ref="B79:C79"/>
    <mergeCell ref="B80:C80"/>
    <mergeCell ref="B81:C81"/>
    <mergeCell ref="B82:C82"/>
    <mergeCell ref="A49:A52"/>
    <mergeCell ref="B49:C52"/>
    <mergeCell ref="D49:R49"/>
    <mergeCell ref="H50:R50"/>
    <mergeCell ref="D51:D52"/>
    <mergeCell ref="R51:R52"/>
    <mergeCell ref="P51:P52"/>
    <mergeCell ref="Q51:Q52"/>
    <mergeCell ref="J51:J52"/>
    <mergeCell ref="K51:K52"/>
    <mergeCell ref="O51:O52"/>
    <mergeCell ref="B62:B63"/>
    <mergeCell ref="L51:L52"/>
    <mergeCell ref="M51:M52"/>
    <mergeCell ref="N51:N52"/>
    <mergeCell ref="E51:E52"/>
    <mergeCell ref="F51:F52"/>
    <mergeCell ref="H51:H52"/>
    <mergeCell ref="I51:I52"/>
    <mergeCell ref="B53:C53"/>
    <mergeCell ref="B54:B59"/>
    <mergeCell ref="B60:C60"/>
    <mergeCell ref="B61:C61"/>
    <mergeCell ref="A6:O8"/>
    <mergeCell ref="D50:G50"/>
    <mergeCell ref="G51:G52"/>
    <mergeCell ref="B73:C73"/>
    <mergeCell ref="B74:C74"/>
    <mergeCell ref="B29:C29"/>
    <mergeCell ref="B30:B32"/>
    <mergeCell ref="B33:C33"/>
    <mergeCell ref="B14:C14"/>
    <mergeCell ref="B13:C13"/>
    <mergeCell ref="B23:C23"/>
    <mergeCell ref="B24:C24"/>
    <mergeCell ref="B26:C26"/>
    <mergeCell ref="B27:C27"/>
    <mergeCell ref="B28:C28"/>
    <mergeCell ref="A62:A63"/>
  </mergeCells>
  <printOptions horizontalCentered="1" verticalCentered="1"/>
  <pageMargins left="0.25" right="0.19652777777777777" top="0.47222222222222221" bottom="0.47222222222222221" header="0.51180555555555551" footer="0.51180555555555551"/>
  <pageSetup paperSize="9" scale="50" firstPageNumber="0" fitToHeight="2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8"/>
  <sheetViews>
    <sheetView zoomScale="90" zoomScaleNormal="90" workbookViewId="0">
      <selection sqref="A1:Q56"/>
    </sheetView>
  </sheetViews>
  <sheetFormatPr defaultColWidth="11.5703125" defaultRowHeight="12.75"/>
  <cols>
    <col min="1" max="1" width="3.7109375" customWidth="1"/>
    <col min="2" max="2" width="39.85546875" customWidth="1"/>
    <col min="3" max="3" width="12.7109375" customWidth="1"/>
    <col min="4" max="5" width="11.7109375" customWidth="1"/>
    <col min="6" max="6" width="12.7109375" customWidth="1"/>
    <col min="7" max="7" width="11.7109375" customWidth="1"/>
    <col min="8" max="8" width="12.7109375" customWidth="1"/>
    <col min="9" max="9" width="12.28515625" customWidth="1"/>
    <col min="10" max="10" width="11.85546875" customWidth="1"/>
    <col min="11" max="11" width="12.28515625" customWidth="1"/>
    <col min="12" max="12" width="12.85546875" customWidth="1"/>
    <col min="13" max="13" width="11.7109375" customWidth="1"/>
    <col min="14" max="14" width="11.85546875" customWidth="1"/>
    <col min="15" max="15" width="12.42578125" customWidth="1"/>
    <col min="16" max="16" width="12.28515625" customWidth="1"/>
    <col min="17" max="17" width="12.42578125" customWidth="1"/>
  </cols>
  <sheetData>
    <row r="1" spans="1:20" ht="17.25" customHeight="1">
      <c r="A1" s="176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66" t="s">
        <v>114</v>
      </c>
      <c r="N1" s="66"/>
      <c r="O1" s="177"/>
      <c r="P1" s="177"/>
      <c r="Q1" s="177"/>
    </row>
    <row r="2" spans="1:20" ht="2.25" customHeight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71"/>
      <c r="N2" s="72"/>
      <c r="O2" s="177"/>
      <c r="P2" s="177"/>
      <c r="Q2" s="177"/>
    </row>
    <row r="3" spans="1:20" ht="17.25" customHeight="1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76" t="s">
        <v>255</v>
      </c>
      <c r="N3" s="72"/>
      <c r="O3" s="177"/>
      <c r="P3" s="177"/>
      <c r="Q3" s="177"/>
    </row>
    <row r="4" spans="1:20" ht="17.25" customHeight="1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76" t="s">
        <v>49</v>
      </c>
      <c r="N4" s="72"/>
      <c r="O4" s="177"/>
      <c r="P4" s="177"/>
      <c r="Q4" s="177"/>
    </row>
    <row r="5" spans="1:20" ht="17.25" customHeight="1">
      <c r="A5" s="176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76" t="s">
        <v>256</v>
      </c>
      <c r="N5" s="72"/>
      <c r="O5" s="177"/>
      <c r="P5" s="177"/>
      <c r="Q5" s="177"/>
    </row>
    <row r="6" spans="1:20" ht="39.950000000000003" customHeight="1">
      <c r="A6" s="570" t="s">
        <v>242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</row>
    <row r="7" spans="1:20" ht="17.25" customHeight="1">
      <c r="A7" s="571" t="s">
        <v>115</v>
      </c>
      <c r="B7" s="572" t="s">
        <v>64</v>
      </c>
      <c r="C7" s="573" t="s">
        <v>65</v>
      </c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573"/>
      <c r="O7" s="573"/>
      <c r="P7" s="573"/>
      <c r="Q7" s="573"/>
    </row>
    <row r="8" spans="1:20" ht="17.25" customHeight="1">
      <c r="A8" s="571"/>
      <c r="B8" s="572"/>
      <c r="C8" s="575" t="s">
        <v>66</v>
      </c>
      <c r="D8" s="576"/>
      <c r="E8" s="576"/>
      <c r="F8" s="577"/>
      <c r="G8" s="574" t="s">
        <v>116</v>
      </c>
      <c r="H8" s="574"/>
      <c r="I8" s="574"/>
      <c r="J8" s="574"/>
      <c r="K8" s="574"/>
      <c r="L8" s="574"/>
      <c r="M8" s="574"/>
      <c r="N8" s="574"/>
      <c r="O8" s="574"/>
      <c r="P8" s="574"/>
      <c r="Q8" s="574"/>
    </row>
    <row r="9" spans="1:20" ht="17.25" customHeight="1">
      <c r="A9" s="571"/>
      <c r="B9" s="572"/>
      <c r="C9" s="178">
        <v>2007</v>
      </c>
      <c r="D9" s="178">
        <v>2008</v>
      </c>
      <c r="E9" s="178">
        <v>2009</v>
      </c>
      <c r="F9" s="179">
        <v>2010</v>
      </c>
      <c r="G9" s="178">
        <v>2011</v>
      </c>
      <c r="H9" s="178">
        <v>2012</v>
      </c>
      <c r="I9" s="178">
        <v>2013</v>
      </c>
      <c r="J9" s="178">
        <v>2014</v>
      </c>
      <c r="K9" s="178">
        <v>2015</v>
      </c>
      <c r="L9" s="178">
        <v>2016</v>
      </c>
      <c r="M9" s="178">
        <v>2017</v>
      </c>
      <c r="N9" s="178">
        <v>2018</v>
      </c>
      <c r="O9" s="178">
        <v>2019</v>
      </c>
      <c r="P9" s="178">
        <v>2020</v>
      </c>
      <c r="Q9" s="180">
        <v>2021</v>
      </c>
    </row>
    <row r="10" spans="1:20" ht="20.25" customHeight="1">
      <c r="A10" s="181">
        <v>1</v>
      </c>
      <c r="B10" s="182" t="s">
        <v>117</v>
      </c>
      <c r="C10" s="183">
        <v>15733115</v>
      </c>
      <c r="D10" s="183">
        <v>24061046</v>
      </c>
      <c r="E10" s="183">
        <v>45737732</v>
      </c>
      <c r="F10" s="183">
        <f>E10+WPF!G53-WPF!G29</f>
        <v>47797647</v>
      </c>
      <c r="G10" s="381">
        <f>F10+WPF!H53-WPF!H29</f>
        <v>57246062</v>
      </c>
      <c r="H10" s="183">
        <f>G10+WPF!I53-WPF!I29</f>
        <v>50311022</v>
      </c>
      <c r="I10" s="183">
        <f>H10+WPF!J53-WPF!J29</f>
        <v>43044123</v>
      </c>
      <c r="J10" s="183">
        <f>I10+WPF!K53-WPF!K29</f>
        <v>35937670</v>
      </c>
      <c r="K10" s="183">
        <f>J10+WPF!L53-WPF!L29</f>
        <v>29787670</v>
      </c>
      <c r="L10" s="183">
        <f>K10+WPF!M53-WPF!M29</f>
        <v>23537670</v>
      </c>
      <c r="M10" s="183">
        <f>L10+WPF!N53-WPF!N29</f>
        <v>16736500</v>
      </c>
      <c r="N10" s="183">
        <f>M10+WPF!O53-WPF!O29</f>
        <v>11674472</v>
      </c>
      <c r="O10" s="183">
        <f>N10+WPF!P53-WPF!P29</f>
        <v>8223949</v>
      </c>
      <c r="P10" s="183">
        <f>O10+WPF!Q53-WPF!Q29</f>
        <v>4523949</v>
      </c>
      <c r="Q10" s="184"/>
    </row>
    <row r="11" spans="1:20" ht="33.75" customHeight="1">
      <c r="A11" s="185" t="s">
        <v>69</v>
      </c>
      <c r="B11" s="57" t="s">
        <v>118</v>
      </c>
      <c r="C11" s="54">
        <v>0</v>
      </c>
      <c r="D11" s="54">
        <v>0</v>
      </c>
      <c r="E11" s="54">
        <v>0</v>
      </c>
      <c r="F11" s="54">
        <v>0</v>
      </c>
      <c r="G11" s="382">
        <v>2500000</v>
      </c>
      <c r="H11" s="54">
        <v>2450000</v>
      </c>
      <c r="I11" s="54">
        <v>2400000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6">
        <v>0</v>
      </c>
    </row>
    <row r="12" spans="1:20" ht="42" customHeight="1">
      <c r="A12" s="185" t="s">
        <v>71</v>
      </c>
      <c r="B12" s="57" t="s">
        <v>259</v>
      </c>
      <c r="C12" s="54">
        <v>0</v>
      </c>
      <c r="D12" s="54">
        <v>0</v>
      </c>
      <c r="E12" s="54">
        <v>0</v>
      </c>
      <c r="F12" s="54">
        <v>0</v>
      </c>
      <c r="G12" s="382">
        <v>0</v>
      </c>
      <c r="H12" s="54">
        <v>50000</v>
      </c>
      <c r="I12" s="54">
        <v>50000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6">
        <v>0</v>
      </c>
      <c r="T12" s="36"/>
    </row>
    <row r="13" spans="1:20" ht="55.5" customHeight="1">
      <c r="A13" s="185" t="s">
        <v>119</v>
      </c>
      <c r="B13" s="57" t="s">
        <v>120</v>
      </c>
      <c r="C13" s="54">
        <v>0</v>
      </c>
      <c r="D13" s="54">
        <v>0</v>
      </c>
      <c r="E13" s="54">
        <v>0</v>
      </c>
      <c r="F13" s="54">
        <v>0</v>
      </c>
      <c r="G13" s="382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6">
        <v>0</v>
      </c>
    </row>
    <row r="14" spans="1:20" ht="24" customHeight="1">
      <c r="A14" s="185" t="s">
        <v>121</v>
      </c>
      <c r="B14" s="57" t="s">
        <v>122</v>
      </c>
      <c r="C14" s="54">
        <f>WPF!D29</f>
        <v>1167600</v>
      </c>
      <c r="D14" s="54">
        <f>WPF!E29</f>
        <v>1422000</v>
      </c>
      <c r="E14" s="54">
        <f>WPF!F29</f>
        <v>3463314</v>
      </c>
      <c r="F14" s="54">
        <f>WPF!G29</f>
        <v>6940085</v>
      </c>
      <c r="G14" s="382">
        <f>WPF!H29</f>
        <v>4551585</v>
      </c>
      <c r="H14" s="54">
        <f>WPF!I29</f>
        <v>6935040</v>
      </c>
      <c r="I14" s="54">
        <f>WPF!J29</f>
        <v>7266899</v>
      </c>
      <c r="J14" s="54">
        <f>WPF!K29</f>
        <v>7106453</v>
      </c>
      <c r="K14" s="54">
        <f>WPF!L29</f>
        <v>6150000</v>
      </c>
      <c r="L14" s="54">
        <f>WPF!M29</f>
        <v>6250000</v>
      </c>
      <c r="M14" s="54">
        <f>WPF!N29</f>
        <v>6801170</v>
      </c>
      <c r="N14" s="54">
        <f>WPF!O29</f>
        <v>5062028</v>
      </c>
      <c r="O14" s="54">
        <f>WPF!P29</f>
        <v>3450523</v>
      </c>
      <c r="P14" s="54">
        <f>WPF!Q29</f>
        <v>3700000</v>
      </c>
      <c r="Q14" s="56">
        <f>WPF!R29</f>
        <v>4523949</v>
      </c>
    </row>
    <row r="15" spans="1:20" ht="24" customHeight="1">
      <c r="A15" s="186" t="s">
        <v>123</v>
      </c>
      <c r="B15" s="187" t="s">
        <v>124</v>
      </c>
      <c r="C15" s="188"/>
      <c r="D15" s="188"/>
      <c r="E15" s="188"/>
      <c r="F15" s="189">
        <f>1/3*((WPF!D14+WPF!D16-'Prognoza długu'!C25)/WPF!D13+(WPF!E14+WPF!E16-'Prognoza długu'!D25)/WPF!E13+(WPF!F14+WPF!F16-'Prognoza długu'!E25)/WPF!F13)</f>
        <v>0.1910646731760649</v>
      </c>
      <c r="G15" s="383">
        <f>1/3*((WPF!E14+WPF!E16-'Prognoza długu'!D25)/WPF!E13+(WPF!F14+WPF!F16-'Prognoza długu'!E25)/WPF!F13+(WPF!G14+WPF!G16-'Prognoza długu'!F25)/WPF!G13)</f>
        <v>0.1291721492426357</v>
      </c>
      <c r="H15" s="189">
        <f>1/3*((WPF!F14+WPF!F16-'Prognoza długu'!E25)/WPF!F13+(WPF!G14+WPF!G16-'Prognoza długu'!F25)/WPF!G13+(WPF!H14+WPF!H16-'Prognoza długu'!G25)/WPF!H13)</f>
        <v>0.11252278759377882</v>
      </c>
      <c r="I15" s="189">
        <f>1/3*((WPF!G14+WPF!G16-'Prognoza długu'!F25)/WPF!G13+(WPF!H14+WPF!H16-'Prognoza długu'!G25)/WPF!H13+(WPF!I14+WPF!I16-'Prognoza długu'!H25)/WPF!I13)</f>
        <v>0.15475320240348389</v>
      </c>
      <c r="J15" s="189">
        <f>1/3*((WPF!H14+WPF!H16-'Prognoza długu'!G25)/WPF!H13+(WPF!I14+WPF!I16-'Prognoza długu'!H25)/WPF!I13+(WPF!J14+WPF!J16-'Prognoza długu'!I25)/WPF!J13)</f>
        <v>0.21249056120692361</v>
      </c>
      <c r="K15" s="189">
        <f>1/3*((WPF!I14+WPF!I16-'Prognoza długu'!H25)/WPF!I13+(WPF!J14+WPF!J16-'Prognoza długu'!I25)/WPF!J13+(WPF!K14+WPF!K16-'Prognoza długu'!J25)/WPF!K13)</f>
        <v>0.21963670744728794</v>
      </c>
      <c r="L15" s="189">
        <f>1/3*((WPF!J14+WPF!J16-'Prognoza długu'!I25)/WPF!J13+(WPF!K14+WPF!K16-'Prognoza długu'!J25)/WPF!K13+(WPF!L14+WPF!L16-'Prognoza długu'!K25)/WPF!L13)</f>
        <v>0.21705213415228644</v>
      </c>
      <c r="M15" s="189">
        <f>1/3*((WPF!K14+WPF!K16-'Prognoza długu'!J25)/WPF!K13+(WPF!L14+WPF!L16-'Prognoza długu'!K25)/WPF!L13+(WPF!M14+WPF!M16-'Prognoza długu'!L25)/WPF!M13)</f>
        <v>0.18526044274631787</v>
      </c>
      <c r="N15" s="189">
        <f>1/3*((WPF!L14+WPF!L16-'Prognoza długu'!K25)/WPF!L13+(WPF!M14+WPF!M16-'Prognoza długu'!L25)/WPF!M13+(WPF!N14+WPF!N16-'Prognoza długu'!M25)/WPF!N13)</f>
        <v>0.17637667194922407</v>
      </c>
      <c r="O15" s="189">
        <f>1/3*((WPF!M14+WPF!M16-'Prognoza długu'!L25)/WPF!M13+(WPF!N14+WPF!N16-'Prognoza długu'!M25)/WPF!N13+(WPF!O14+WPF!O16-'Prognoza długu'!N25)/WPF!O13)</f>
        <v>0.1181715829791177</v>
      </c>
      <c r="P15" s="189">
        <f>1/3*((WPF!N14+WPF!N16-'Prognoza długu'!M25)/WPF!N13+(WPF!O14+WPF!O16-'Prognoza długu'!N25)/WPF!O13+(WPF!P14+WPF!P16-'Prognoza długu'!O25)/WPF!P13)</f>
        <v>7.7389036963980834E-2</v>
      </c>
      <c r="Q15" s="190">
        <f>1/3*((WPF!O14+WPF!O16-'Prognoza długu'!N25)/WPF!O13+(WPF!P14+WPF!P16-'Prognoza długu'!O25)/WPF!P13+(WPF!Q14+WPF!Q16-'Prognoza długu'!P25)/WPF!Q13)</f>
        <v>3.6362244180010328E-2</v>
      </c>
    </row>
    <row r="16" spans="1:20" ht="30.75" customHeight="1">
      <c r="A16" s="186" t="s">
        <v>125</v>
      </c>
      <c r="B16" s="187" t="s">
        <v>126</v>
      </c>
      <c r="C16" s="188" t="s">
        <v>84</v>
      </c>
      <c r="D16" s="188" t="s">
        <v>84</v>
      </c>
      <c r="E16" s="188" t="s">
        <v>84</v>
      </c>
      <c r="F16" s="189">
        <f>(WPF!G33+WPF!G29)/WPF!G13</f>
        <v>0.10653694792951553</v>
      </c>
      <c r="G16" s="383">
        <f>(WPF!H33+WPF!H29)/WPF!H13</f>
        <v>5.7693548132411815E-2</v>
      </c>
      <c r="H16" s="189">
        <f>(WPF!I33+WPF!I29)/WPF!I13</f>
        <v>5.5641464775045814E-2</v>
      </c>
      <c r="I16" s="189">
        <f>(WPF!J33+WPF!J29)/WPF!J13</f>
        <v>8.7402325219505431E-2</v>
      </c>
      <c r="J16" s="189">
        <f>(WPF!K33+WPF!K29)/WPF!K13</f>
        <v>9.2248663927936278E-2</v>
      </c>
      <c r="K16" s="189">
        <f>(WPF!L33+WPF!L29)/WPF!L13</f>
        <v>6.8525765323526167E-2</v>
      </c>
      <c r="L16" s="189">
        <f>(WPF!M33+WPF!M29)/WPF!M13</f>
        <v>7.5197204153146152E-2</v>
      </c>
      <c r="M16" s="189">
        <f>(WPF!N33+WPF!N29)/WPF!N13</f>
        <v>7.6395819829638653E-2</v>
      </c>
      <c r="N16" s="189">
        <f>(WPF!O33+WPF!O29)/WPF!O13</f>
        <v>5.5370410864514823E-2</v>
      </c>
      <c r="O16" s="189">
        <f>(WPF!P33+WPF!P29)/WPF!P13</f>
        <v>3.7888891964635768E-2</v>
      </c>
      <c r="P16" s="189">
        <f>(WPF!Q33+WPF!Q29)/WPF!Q13</f>
        <v>3.6637424200021716E-2</v>
      </c>
      <c r="Q16" s="190">
        <f>(WPF!R33+WPF!R29)/WPF!R13</f>
        <v>3.6120506737093647E-2</v>
      </c>
    </row>
    <row r="17" spans="1:17" ht="35.25" customHeight="1">
      <c r="A17" s="186" t="s">
        <v>127</v>
      </c>
      <c r="B17" s="191" t="s">
        <v>128</v>
      </c>
      <c r="C17" s="192"/>
      <c r="D17" s="188"/>
      <c r="E17" s="188"/>
      <c r="F17" s="189">
        <f>F15-F16</f>
        <v>8.4527725246549376E-2</v>
      </c>
      <c r="G17" s="383">
        <f t="shared" ref="G17:Q17" si="0">G15-G16</f>
        <v>7.1478601110223888E-2</v>
      </c>
      <c r="H17" s="189">
        <f t="shared" si="0"/>
        <v>5.6881322818733003E-2</v>
      </c>
      <c r="I17" s="189">
        <f t="shared" si="0"/>
        <v>6.7350877183978461E-2</v>
      </c>
      <c r="J17" s="189">
        <f t="shared" si="0"/>
        <v>0.12024189727898733</v>
      </c>
      <c r="K17" s="189">
        <f t="shared" si="0"/>
        <v>0.15111094212376178</v>
      </c>
      <c r="L17" s="189">
        <f t="shared" si="0"/>
        <v>0.14185492999914029</v>
      </c>
      <c r="M17" s="189">
        <f t="shared" si="0"/>
        <v>0.10886462291667921</v>
      </c>
      <c r="N17" s="189">
        <f t="shared" si="0"/>
        <v>0.12100626108470924</v>
      </c>
      <c r="O17" s="189">
        <f t="shared" si="0"/>
        <v>8.0282691014481933E-2</v>
      </c>
      <c r="P17" s="189">
        <f t="shared" si="0"/>
        <v>4.0751612763959118E-2</v>
      </c>
      <c r="Q17" s="190">
        <f t="shared" si="0"/>
        <v>2.4173744291668131E-4</v>
      </c>
    </row>
    <row r="18" spans="1:17" ht="30" customHeight="1">
      <c r="A18" s="185" t="s">
        <v>129</v>
      </c>
      <c r="B18" s="57" t="s">
        <v>130</v>
      </c>
      <c r="C18" s="193">
        <f>WPF!D28/WPF!D13%</f>
        <v>1.959634752176012</v>
      </c>
      <c r="D18" s="193">
        <f>WPF!E28/WPF!E13%</f>
        <v>2.3282594878968568</v>
      </c>
      <c r="E18" s="193">
        <f>WPF!F28/WPF!F13%</f>
        <v>5.5106596300184378</v>
      </c>
      <c r="F18" s="193">
        <f>WPF!G28/WPF!G13%</f>
        <v>10.653694792951551</v>
      </c>
      <c r="G18" s="384">
        <f>WPF!H28/WPF!H13%</f>
        <v>5.7693548132411818</v>
      </c>
      <c r="H18" s="193">
        <f>WPF!I28/WPF!I13%</f>
        <v>5.5641464775045817</v>
      </c>
      <c r="I18" s="193">
        <f>WPF!J28/WPF!J13%</f>
        <v>8.7402325219505439</v>
      </c>
      <c r="J18" s="193"/>
      <c r="K18" s="193"/>
      <c r="L18" s="193"/>
      <c r="M18" s="193"/>
      <c r="N18" s="193"/>
      <c r="O18" s="193"/>
      <c r="P18" s="193"/>
      <c r="Q18" s="194"/>
    </row>
    <row r="19" spans="1:17" ht="29.25" customHeight="1">
      <c r="A19" s="185" t="s">
        <v>131</v>
      </c>
      <c r="B19" s="57" t="s">
        <v>132</v>
      </c>
      <c r="C19" s="193">
        <f>C10/WPF!D13%</f>
        <v>20.922637275627366</v>
      </c>
      <c r="D19" s="193">
        <f>D10/WPF!E13%</f>
        <v>29.73558673968137</v>
      </c>
      <c r="E19" s="193">
        <f>E10/WPF!F13%</f>
        <v>55.982746471274986</v>
      </c>
      <c r="F19" s="193">
        <f>F10/WPF!G13%</f>
        <v>56.169150560182651</v>
      </c>
      <c r="G19" s="384">
        <f>G10/WPF!H13%</f>
        <v>47.979939937890158</v>
      </c>
      <c r="H19" s="193">
        <f>H10/WPF!I13%</f>
        <v>30.319508091251151</v>
      </c>
      <c r="I19" s="193">
        <f>I10/WPF!J13%</f>
        <v>37.796019459362519</v>
      </c>
      <c r="J19" s="193"/>
      <c r="K19" s="193"/>
      <c r="L19" s="193"/>
      <c r="M19" s="193"/>
      <c r="N19" s="193"/>
      <c r="O19" s="193"/>
      <c r="P19" s="193"/>
      <c r="Q19" s="194"/>
    </row>
    <row r="20" spans="1:17" ht="17.25" customHeight="1">
      <c r="A20" s="83" t="s">
        <v>133</v>
      </c>
      <c r="B20" s="195" t="s">
        <v>134</v>
      </c>
      <c r="C20" s="60">
        <f>C21+C22</f>
        <v>75196615</v>
      </c>
      <c r="D20" s="60">
        <f t="shared" ref="D20:Q20" si="1">D21+D22</f>
        <v>80916668</v>
      </c>
      <c r="E20" s="60">
        <f t="shared" si="1"/>
        <v>81699693</v>
      </c>
      <c r="F20" s="60">
        <f t="shared" si="1"/>
        <v>85095905</v>
      </c>
      <c r="G20" s="385">
        <f t="shared" si="1"/>
        <v>119312492</v>
      </c>
      <c r="H20" s="60">
        <f t="shared" si="1"/>
        <v>165936142</v>
      </c>
      <c r="I20" s="60">
        <f t="shared" si="1"/>
        <v>113885334</v>
      </c>
      <c r="J20" s="60">
        <f t="shared" si="1"/>
        <v>101647586</v>
      </c>
      <c r="K20" s="60">
        <f t="shared" si="1"/>
        <v>118758338</v>
      </c>
      <c r="L20" s="196">
        <f t="shared" si="1"/>
        <v>105848430</v>
      </c>
      <c r="M20" s="60">
        <f t="shared" si="1"/>
        <v>108106216</v>
      </c>
      <c r="N20" s="60">
        <f t="shared" si="1"/>
        <v>111058581</v>
      </c>
      <c r="O20" s="60">
        <f t="shared" si="1"/>
        <v>110686756</v>
      </c>
      <c r="P20" s="60">
        <f t="shared" si="1"/>
        <v>114433575</v>
      </c>
      <c r="Q20" s="61">
        <f t="shared" si="1"/>
        <v>130658641</v>
      </c>
    </row>
    <row r="21" spans="1:17" ht="16.5" customHeight="1">
      <c r="A21" s="185" t="s">
        <v>69</v>
      </c>
      <c r="B21" s="57" t="s">
        <v>135</v>
      </c>
      <c r="C21" s="54">
        <f>WPF!D14</f>
        <v>74779347</v>
      </c>
      <c r="D21" s="54">
        <f>WPF!E14</f>
        <v>80901768</v>
      </c>
      <c r="E21" s="54">
        <f>WPF!F14</f>
        <v>80665439</v>
      </c>
      <c r="F21" s="54">
        <f>WPF!G14</f>
        <v>84339995</v>
      </c>
      <c r="G21" s="382">
        <f>WPF!H14</f>
        <v>90829741</v>
      </c>
      <c r="H21" s="54">
        <f>WPF!I14</f>
        <v>96803585</v>
      </c>
      <c r="I21" s="54">
        <f>WPF!J14</f>
        <v>98052833</v>
      </c>
      <c r="J21" s="54">
        <f>WPF!K14</f>
        <v>99647586</v>
      </c>
      <c r="K21" s="54">
        <f>WPF!L14</f>
        <v>104758338</v>
      </c>
      <c r="L21" s="197">
        <f>WPF!M14</f>
        <v>105848430</v>
      </c>
      <c r="M21" s="54">
        <f>WPF!N14</f>
        <v>108106216</v>
      </c>
      <c r="N21" s="54">
        <f>WPF!O14</f>
        <v>111058581</v>
      </c>
      <c r="O21" s="54">
        <f>WPF!P14</f>
        <v>110686756</v>
      </c>
      <c r="P21" s="54">
        <f>WPF!Q14</f>
        <v>114433575</v>
      </c>
      <c r="Q21" s="56">
        <f>WPF!R14</f>
        <v>118658641</v>
      </c>
    </row>
    <row r="22" spans="1:17" ht="16.5" customHeight="1">
      <c r="A22" s="185" t="s">
        <v>71</v>
      </c>
      <c r="B22" s="57" t="s">
        <v>72</v>
      </c>
      <c r="C22" s="54">
        <f>WPF!D15</f>
        <v>417268</v>
      </c>
      <c r="D22" s="54">
        <f>WPF!E15</f>
        <v>14900</v>
      </c>
      <c r="E22" s="54">
        <f>WPF!F15</f>
        <v>1034254</v>
      </c>
      <c r="F22" s="54">
        <f>WPF!G15</f>
        <v>755910</v>
      </c>
      <c r="G22" s="382">
        <f>WPF!H15</f>
        <v>28482751</v>
      </c>
      <c r="H22" s="54">
        <f>WPF!I15</f>
        <v>69132557</v>
      </c>
      <c r="I22" s="54">
        <f>WPF!J15</f>
        <v>15832501</v>
      </c>
      <c r="J22" s="54">
        <f>WPF!K15</f>
        <v>2000000</v>
      </c>
      <c r="K22" s="54">
        <f>WPF!L15</f>
        <v>14000000</v>
      </c>
      <c r="L22" s="54">
        <f>WPF!M15</f>
        <v>0</v>
      </c>
      <c r="M22" s="54">
        <f>WPF!N15</f>
        <v>0</v>
      </c>
      <c r="N22" s="54">
        <f>WPF!O15</f>
        <v>0</v>
      </c>
      <c r="O22" s="54">
        <f>WPF!P15</f>
        <v>0</v>
      </c>
      <c r="P22" s="54">
        <f>WPF!Q15</f>
        <v>0</v>
      </c>
      <c r="Q22" s="56">
        <f>WPF!R15</f>
        <v>12000000</v>
      </c>
    </row>
    <row r="23" spans="1:17" ht="16.5" customHeight="1">
      <c r="A23" s="185" t="s">
        <v>73</v>
      </c>
      <c r="B23" s="57" t="s">
        <v>75</v>
      </c>
      <c r="C23" s="54">
        <f>WPF!D16</f>
        <v>0</v>
      </c>
      <c r="D23" s="54">
        <f>WPF!E16</f>
        <v>0</v>
      </c>
      <c r="E23" s="54">
        <f>WPF!F16</f>
        <v>197354</v>
      </c>
      <c r="F23" s="54">
        <f>WPF!G16</f>
        <v>255910</v>
      </c>
      <c r="G23" s="382">
        <f>WPF!H16</f>
        <v>13500000</v>
      </c>
      <c r="H23" s="54">
        <f>WPF!I16</f>
        <v>22500000</v>
      </c>
      <c r="I23" s="54">
        <f>WPF!J16</f>
        <v>12000000</v>
      </c>
      <c r="J23" s="54">
        <f>WPF!K16</f>
        <v>2000000</v>
      </c>
      <c r="K23" s="54">
        <f>WPF!L16</f>
        <v>5000000</v>
      </c>
      <c r="L23" s="54">
        <f>WPF!M16</f>
        <v>0</v>
      </c>
      <c r="M23" s="54">
        <f>WPF!N16</f>
        <v>0</v>
      </c>
      <c r="N23" s="54">
        <f>WPF!O16</f>
        <v>0</v>
      </c>
      <c r="O23" s="54">
        <f>WPF!P16</f>
        <v>0</v>
      </c>
      <c r="P23" s="54">
        <f>WPF!Q16</f>
        <v>0</v>
      </c>
      <c r="Q23" s="56">
        <f>WPF!R16</f>
        <v>12000000</v>
      </c>
    </row>
    <row r="24" spans="1:17" ht="16.5" customHeight="1">
      <c r="A24" s="83" t="s">
        <v>136</v>
      </c>
      <c r="B24" s="195" t="s">
        <v>137</v>
      </c>
      <c r="C24" s="60">
        <f>C25+C26</f>
        <v>93858939.640000001</v>
      </c>
      <c r="D24" s="60">
        <f t="shared" ref="D24:Q24" si="2">D25+D26</f>
        <v>107175456.56999999</v>
      </c>
      <c r="E24" s="60">
        <f t="shared" si="2"/>
        <v>105850665</v>
      </c>
      <c r="F24" s="60">
        <f t="shared" si="2"/>
        <v>87934218</v>
      </c>
      <c r="G24" s="385">
        <f>G25+G26</f>
        <v>129187984</v>
      </c>
      <c r="H24" s="60">
        <f t="shared" si="2"/>
        <v>159001102</v>
      </c>
      <c r="I24" s="60">
        <f t="shared" si="2"/>
        <v>106618435</v>
      </c>
      <c r="J24" s="60">
        <f t="shared" si="2"/>
        <v>94541133</v>
      </c>
      <c r="K24" s="60">
        <f t="shared" si="2"/>
        <v>112608338</v>
      </c>
      <c r="L24" s="60">
        <f t="shared" si="2"/>
        <v>99598430</v>
      </c>
      <c r="M24" s="60">
        <f t="shared" si="2"/>
        <v>101305046</v>
      </c>
      <c r="N24" s="60">
        <f t="shared" si="2"/>
        <v>105996553.26000001</v>
      </c>
      <c r="O24" s="60">
        <f t="shared" si="2"/>
        <v>107236232.54000001</v>
      </c>
      <c r="P24" s="60">
        <f t="shared" si="2"/>
        <v>110733575.43000001</v>
      </c>
      <c r="Q24" s="61">
        <f t="shared" si="2"/>
        <v>126134692.32250001</v>
      </c>
    </row>
    <row r="25" spans="1:17" ht="17.25" customHeight="1">
      <c r="A25" s="185" t="s">
        <v>69</v>
      </c>
      <c r="B25" s="57" t="s">
        <v>138</v>
      </c>
      <c r="C25" s="54">
        <f>WPF!D17+WPF!D33</f>
        <v>55125811</v>
      </c>
      <c r="D25" s="54">
        <f>WPF!E17+WPF!E33</f>
        <v>63862781</v>
      </c>
      <c r="E25" s="54">
        <f>WPF!F17+WPF!F33</f>
        <v>72590083</v>
      </c>
      <c r="F25" s="54">
        <f>WPF!G17+WPF!G33</f>
        <v>78155472</v>
      </c>
      <c r="G25" s="382">
        <f>WPF!H17+WPF!H33</f>
        <v>85165003</v>
      </c>
      <c r="H25" s="54">
        <f>WPF!I17+WPF!I33</f>
        <v>81478643</v>
      </c>
      <c r="I25" s="54">
        <f>WPF!J17+WPF!J33</f>
        <v>81707174</v>
      </c>
      <c r="J25" s="54">
        <f>WPF!K17+WPF!K33</f>
        <v>83141133</v>
      </c>
      <c r="K25" s="54">
        <f>WPF!L17+WPF!L33</f>
        <v>83608338</v>
      </c>
      <c r="L25" s="54">
        <f>WPF!M17+WPF!M33</f>
        <v>89598430</v>
      </c>
      <c r="M25" s="54">
        <f>WPF!N17+WPF!N33</f>
        <v>91305046</v>
      </c>
      <c r="N25" s="54">
        <f>WPF!O17+WPF!O33</f>
        <v>105996553.26000001</v>
      </c>
      <c r="O25" s="54">
        <f>WPF!P17+WPF!P33</f>
        <v>107236232.54000001</v>
      </c>
      <c r="P25" s="54">
        <f>WPF!Q17+WPF!Q33</f>
        <v>110733575.43000001</v>
      </c>
      <c r="Q25" s="56">
        <f>WPF!R17+WPF!R33</f>
        <v>114134692.32250001</v>
      </c>
    </row>
    <row r="26" spans="1:17" ht="17.25" customHeight="1">
      <c r="A26" s="185" t="s">
        <v>71</v>
      </c>
      <c r="B26" s="57" t="s">
        <v>139</v>
      </c>
      <c r="C26" s="54">
        <f>WPF!D36</f>
        <v>38733128.640000001</v>
      </c>
      <c r="D26" s="54">
        <f>WPF!E36</f>
        <v>43312675.57</v>
      </c>
      <c r="E26" s="54">
        <f>WPF!F36</f>
        <v>33260582</v>
      </c>
      <c r="F26" s="54">
        <f>WPF!G36</f>
        <v>9778746</v>
      </c>
      <c r="G26" s="382">
        <f>WPF!H36</f>
        <v>44022981</v>
      </c>
      <c r="H26" s="54">
        <f>WPF!I36</f>
        <v>77522459</v>
      </c>
      <c r="I26" s="54">
        <f>WPF!J36</f>
        <v>24911261</v>
      </c>
      <c r="J26" s="54">
        <f>WPF!K36</f>
        <v>11400000</v>
      </c>
      <c r="K26" s="54">
        <f>WPF!L36</f>
        <v>29000000</v>
      </c>
      <c r="L26" s="54">
        <f>WPF!M36</f>
        <v>10000000</v>
      </c>
      <c r="M26" s="54">
        <f>WPF!N36</f>
        <v>10000000</v>
      </c>
      <c r="N26" s="54">
        <f>WPF!O36</f>
        <v>0</v>
      </c>
      <c r="O26" s="54">
        <f>WPF!P36</f>
        <v>0</v>
      </c>
      <c r="P26" s="54">
        <f>WPF!Q36</f>
        <v>0</v>
      </c>
      <c r="Q26" s="56">
        <f>WPF!R36</f>
        <v>12000000</v>
      </c>
    </row>
    <row r="27" spans="1:17" ht="31.5" customHeight="1">
      <c r="A27" s="83" t="s">
        <v>140</v>
      </c>
      <c r="B27" s="195" t="s">
        <v>141</v>
      </c>
      <c r="C27" s="60">
        <f>C20-C24</f>
        <v>-18662324.640000001</v>
      </c>
      <c r="D27" s="60">
        <f t="shared" ref="D27:Q27" si="3">D20-D24</f>
        <v>-26258788.569999993</v>
      </c>
      <c r="E27" s="60">
        <f>E20-E24</f>
        <v>-24150972</v>
      </c>
      <c r="F27" s="60">
        <f t="shared" si="3"/>
        <v>-2838313</v>
      </c>
      <c r="G27" s="385">
        <f t="shared" si="3"/>
        <v>-9875492</v>
      </c>
      <c r="H27" s="60">
        <f t="shared" si="3"/>
        <v>6935040</v>
      </c>
      <c r="I27" s="60">
        <f t="shared" si="3"/>
        <v>7266899</v>
      </c>
      <c r="J27" s="60">
        <f t="shared" si="3"/>
        <v>7106453</v>
      </c>
      <c r="K27" s="60">
        <f t="shared" si="3"/>
        <v>6150000</v>
      </c>
      <c r="L27" s="60">
        <f t="shared" si="3"/>
        <v>6250000</v>
      </c>
      <c r="M27" s="60">
        <f t="shared" si="3"/>
        <v>6801170</v>
      </c>
      <c r="N27" s="60">
        <f t="shared" si="3"/>
        <v>5062027.7399999946</v>
      </c>
      <c r="O27" s="60">
        <f t="shared" si="3"/>
        <v>3450523.4599999934</v>
      </c>
      <c r="P27" s="60">
        <f t="shared" si="3"/>
        <v>3699999.5699999928</v>
      </c>
      <c r="Q27" s="61">
        <f t="shared" si="3"/>
        <v>4523948.6774999946</v>
      </c>
    </row>
    <row r="28" spans="1:17" ht="15.75" customHeight="1">
      <c r="A28" s="83" t="s">
        <v>142</v>
      </c>
      <c r="B28" s="195" t="s">
        <v>234</v>
      </c>
      <c r="C28" s="60">
        <f>SUM(C29:C33)</f>
        <v>3355000</v>
      </c>
      <c r="D28" s="60">
        <f t="shared" ref="D28:G28" si="4">SUM(D29:D33)</f>
        <v>26258789</v>
      </c>
      <c r="E28" s="60">
        <f t="shared" si="4"/>
        <v>24150972</v>
      </c>
      <c r="F28" s="60">
        <f t="shared" si="4"/>
        <v>2838313</v>
      </c>
      <c r="G28" s="385">
        <f t="shared" si="4"/>
        <v>9875492</v>
      </c>
      <c r="H28" s="60"/>
      <c r="I28" s="60"/>
      <c r="J28" s="60"/>
      <c r="K28" s="60"/>
      <c r="L28" s="60"/>
      <c r="M28" s="60"/>
      <c r="N28" s="60"/>
      <c r="O28" s="60"/>
      <c r="P28" s="60"/>
      <c r="Q28" s="61"/>
    </row>
    <row r="29" spans="1:17" ht="15.75" customHeight="1">
      <c r="A29" s="84" t="s">
        <v>69</v>
      </c>
      <c r="B29" s="63" t="s">
        <v>92</v>
      </c>
      <c r="C29" s="54">
        <v>3355000</v>
      </c>
      <c r="D29" s="54">
        <v>7546170</v>
      </c>
      <c r="E29" s="54">
        <v>6330000</v>
      </c>
      <c r="F29" s="54"/>
      <c r="G29" s="382">
        <v>2500000</v>
      </c>
      <c r="H29" s="60"/>
      <c r="I29" s="60"/>
      <c r="J29" s="60"/>
      <c r="K29" s="60"/>
      <c r="L29" s="60"/>
      <c r="M29" s="60"/>
      <c r="N29" s="60"/>
      <c r="O29" s="60"/>
      <c r="P29" s="60"/>
      <c r="Q29" s="61"/>
    </row>
    <row r="30" spans="1:17" ht="15.75" customHeight="1">
      <c r="A30" s="84" t="s">
        <v>71</v>
      </c>
      <c r="B30" s="63" t="s">
        <v>93</v>
      </c>
      <c r="C30" s="54"/>
      <c r="D30" s="54">
        <v>4000000</v>
      </c>
      <c r="E30" s="54">
        <v>4810000</v>
      </c>
      <c r="F30" s="54"/>
      <c r="G30" s="382"/>
      <c r="H30" s="60"/>
      <c r="I30" s="60"/>
      <c r="J30" s="60"/>
      <c r="K30" s="60"/>
      <c r="L30" s="60"/>
      <c r="M30" s="60"/>
      <c r="N30" s="60"/>
      <c r="O30" s="60"/>
      <c r="P30" s="60"/>
      <c r="Q30" s="61"/>
    </row>
    <row r="31" spans="1:17" ht="15.75" customHeight="1">
      <c r="A31" s="84" t="s">
        <v>79</v>
      </c>
      <c r="B31" s="63" t="s">
        <v>232</v>
      </c>
      <c r="C31" s="54"/>
      <c r="D31" s="54">
        <v>2699265</v>
      </c>
      <c r="E31" s="54"/>
      <c r="F31" s="54"/>
      <c r="G31" s="382"/>
      <c r="H31" s="60"/>
      <c r="I31" s="60"/>
      <c r="J31" s="60"/>
      <c r="K31" s="60"/>
      <c r="L31" s="60"/>
      <c r="M31" s="60"/>
      <c r="N31" s="60"/>
      <c r="O31" s="60"/>
      <c r="P31" s="60"/>
      <c r="Q31" s="61"/>
    </row>
    <row r="32" spans="1:17" ht="57" customHeight="1">
      <c r="A32" s="84" t="s">
        <v>82</v>
      </c>
      <c r="B32" s="81" t="s">
        <v>101</v>
      </c>
      <c r="C32" s="54"/>
      <c r="D32" s="54">
        <v>12013354</v>
      </c>
      <c r="E32" s="54"/>
      <c r="F32" s="54"/>
      <c r="G32" s="382">
        <v>375492</v>
      </c>
      <c r="H32" s="60"/>
      <c r="I32" s="60"/>
      <c r="J32" s="60"/>
      <c r="K32" s="60"/>
      <c r="L32" s="60"/>
      <c r="M32" s="60"/>
      <c r="N32" s="60"/>
      <c r="O32" s="60"/>
      <c r="P32" s="60"/>
      <c r="Q32" s="61"/>
    </row>
    <row r="33" spans="1:17" ht="15.75" customHeight="1">
      <c r="A33" s="84" t="s">
        <v>143</v>
      </c>
      <c r="B33" s="63" t="s">
        <v>100</v>
      </c>
      <c r="C33" s="54"/>
      <c r="D33" s="54"/>
      <c r="E33" s="54">
        <v>13010972</v>
      </c>
      <c r="F33" s="54">
        <v>2838313</v>
      </c>
      <c r="G33" s="382">
        <v>7000000</v>
      </c>
      <c r="H33" s="60"/>
      <c r="I33" s="60"/>
      <c r="J33" s="60"/>
      <c r="K33" s="60"/>
      <c r="L33" s="60"/>
      <c r="M33" s="60"/>
      <c r="N33" s="60"/>
      <c r="O33" s="60"/>
      <c r="P33" s="60"/>
      <c r="Q33" s="61"/>
    </row>
    <row r="34" spans="1:17" ht="15.75" customHeight="1">
      <c r="A34" s="350"/>
      <c r="B34" s="351"/>
      <c r="C34" s="352"/>
      <c r="D34" s="352"/>
      <c r="E34" s="352"/>
      <c r="F34" s="352"/>
      <c r="G34" s="352"/>
      <c r="H34" s="353"/>
      <c r="I34" s="353"/>
      <c r="J34" s="353"/>
      <c r="K34" s="353"/>
      <c r="L34" s="353"/>
      <c r="M34" s="353"/>
      <c r="N34" s="353"/>
      <c r="O34" s="353"/>
      <c r="P34" s="353"/>
      <c r="Q34" s="353"/>
    </row>
    <row r="35" spans="1:17" ht="15.75" customHeight="1">
      <c r="A35" s="354"/>
      <c r="B35" s="355"/>
      <c r="C35" s="356"/>
      <c r="D35" s="356"/>
      <c r="E35" s="356"/>
      <c r="F35" s="356"/>
      <c r="G35" s="356"/>
      <c r="H35" s="357"/>
      <c r="I35" s="357"/>
      <c r="J35" s="357"/>
      <c r="K35" s="357"/>
      <c r="L35" s="357"/>
      <c r="M35" s="357"/>
      <c r="N35" s="357"/>
      <c r="O35" s="357"/>
      <c r="P35" s="357"/>
      <c r="Q35" s="357"/>
    </row>
    <row r="36" spans="1:17" ht="15.75" customHeight="1">
      <c r="A36" s="354"/>
      <c r="B36" s="355"/>
      <c r="C36" s="356"/>
      <c r="D36" s="356"/>
      <c r="E36" s="356"/>
      <c r="F36" s="356"/>
      <c r="G36" s="356"/>
      <c r="H36" s="357"/>
      <c r="I36" s="357"/>
      <c r="J36" s="357"/>
      <c r="K36" s="357"/>
      <c r="L36" s="357"/>
      <c r="M36" s="357"/>
      <c r="N36" s="357"/>
      <c r="O36" s="357"/>
      <c r="P36" s="357"/>
      <c r="Q36" s="357"/>
    </row>
    <row r="37" spans="1:17" ht="15.75" customHeight="1">
      <c r="A37" s="354"/>
      <c r="B37" s="355"/>
      <c r="C37" s="356"/>
      <c r="D37" s="356"/>
      <c r="E37" s="356"/>
      <c r="F37" s="356"/>
      <c r="G37" s="356"/>
      <c r="H37" s="357"/>
      <c r="I37" s="357"/>
      <c r="J37" s="357"/>
      <c r="K37" s="357"/>
      <c r="L37" s="357"/>
      <c r="M37" s="357"/>
      <c r="N37" s="357"/>
      <c r="O37" s="357"/>
      <c r="P37" s="357"/>
      <c r="Q37" s="357"/>
    </row>
    <row r="38" spans="1:17" ht="15.75" customHeight="1" thickBot="1">
      <c r="A38" s="354"/>
      <c r="B38" s="355"/>
      <c r="C38" s="356"/>
      <c r="D38" s="356"/>
      <c r="E38" s="356"/>
      <c r="F38" s="356"/>
      <c r="G38" s="356"/>
      <c r="H38" s="357"/>
      <c r="I38" s="357"/>
      <c r="J38" s="357"/>
      <c r="K38" s="357"/>
      <c r="L38" s="357"/>
      <c r="M38" s="357"/>
      <c r="N38" s="357"/>
      <c r="O38" s="357"/>
      <c r="P38" s="357"/>
      <c r="Q38" s="357"/>
    </row>
    <row r="39" spans="1:17" ht="15.75" customHeight="1" thickBot="1">
      <c r="A39" s="571" t="s">
        <v>115</v>
      </c>
      <c r="B39" s="572" t="s">
        <v>64</v>
      </c>
      <c r="C39" s="573" t="s">
        <v>65</v>
      </c>
      <c r="D39" s="573"/>
      <c r="E39" s="573"/>
      <c r="F39" s="573"/>
      <c r="G39" s="573"/>
      <c r="H39" s="573"/>
      <c r="I39" s="573"/>
      <c r="J39" s="573"/>
      <c r="K39" s="573"/>
      <c r="L39" s="573"/>
      <c r="M39" s="573"/>
      <c r="N39" s="573"/>
      <c r="O39" s="573"/>
      <c r="P39" s="573"/>
      <c r="Q39" s="573"/>
    </row>
    <row r="40" spans="1:17" ht="15.75" customHeight="1" thickBot="1">
      <c r="A40" s="571"/>
      <c r="B40" s="572"/>
      <c r="C40" s="575" t="s">
        <v>66</v>
      </c>
      <c r="D40" s="576"/>
      <c r="E40" s="576"/>
      <c r="F40" s="577"/>
      <c r="G40" s="574" t="s">
        <v>116</v>
      </c>
      <c r="H40" s="574"/>
      <c r="I40" s="574"/>
      <c r="J40" s="574"/>
      <c r="K40" s="574"/>
      <c r="L40" s="574"/>
      <c r="M40" s="574"/>
      <c r="N40" s="574"/>
      <c r="O40" s="574"/>
      <c r="P40" s="574"/>
      <c r="Q40" s="574"/>
    </row>
    <row r="41" spans="1:17" ht="15.75" customHeight="1" thickBot="1">
      <c r="A41" s="571"/>
      <c r="B41" s="572"/>
      <c r="C41" s="178">
        <v>2007</v>
      </c>
      <c r="D41" s="178">
        <v>2008</v>
      </c>
      <c r="E41" s="178">
        <v>2009</v>
      </c>
      <c r="F41" s="179">
        <v>2010</v>
      </c>
      <c r="G41" s="386">
        <v>2011</v>
      </c>
      <c r="H41" s="178">
        <v>2012</v>
      </c>
      <c r="I41" s="178">
        <v>2013</v>
      </c>
      <c r="J41" s="178">
        <v>2014</v>
      </c>
      <c r="K41" s="178">
        <v>2015</v>
      </c>
      <c r="L41" s="178">
        <v>2016</v>
      </c>
      <c r="M41" s="178">
        <v>2017</v>
      </c>
      <c r="N41" s="178">
        <v>2018</v>
      </c>
      <c r="O41" s="178">
        <v>2019</v>
      </c>
      <c r="P41" s="178">
        <v>2020</v>
      </c>
      <c r="Q41" s="180">
        <v>2021</v>
      </c>
    </row>
    <row r="42" spans="1:17" ht="14.25" customHeight="1">
      <c r="A42" s="83" t="s">
        <v>144</v>
      </c>
      <c r="B42" s="195" t="s">
        <v>235</v>
      </c>
      <c r="C42" s="60"/>
      <c r="D42" s="60"/>
      <c r="E42" s="60"/>
      <c r="F42" s="60"/>
      <c r="G42" s="385"/>
      <c r="H42" s="60">
        <f>SUM(H43:H45)</f>
        <v>6935040</v>
      </c>
      <c r="I42" s="60">
        <f t="shared" ref="I42:Q42" si="5">SUM(I43:I45)</f>
        <v>7266899</v>
      </c>
      <c r="J42" s="60">
        <f t="shared" si="5"/>
        <v>7106453</v>
      </c>
      <c r="K42" s="60">
        <f t="shared" si="5"/>
        <v>6150000</v>
      </c>
      <c r="L42" s="60">
        <f t="shared" si="5"/>
        <v>6250000</v>
      </c>
      <c r="M42" s="60">
        <f t="shared" si="5"/>
        <v>6801170</v>
      </c>
      <c r="N42" s="60">
        <f t="shared" si="5"/>
        <v>5062028</v>
      </c>
      <c r="O42" s="60">
        <f t="shared" si="5"/>
        <v>3450523</v>
      </c>
      <c r="P42" s="60">
        <f t="shared" si="5"/>
        <v>3700000</v>
      </c>
      <c r="Q42" s="61">
        <f t="shared" si="5"/>
        <v>4523949</v>
      </c>
    </row>
    <row r="43" spans="1:17" ht="14.25" customHeight="1">
      <c r="A43" s="85" t="s">
        <v>69</v>
      </c>
      <c r="B43" s="63" t="s">
        <v>231</v>
      </c>
      <c r="C43" s="62"/>
      <c r="D43" s="55"/>
      <c r="E43" s="55"/>
      <c r="F43" s="86"/>
      <c r="G43" s="382"/>
      <c r="H43" s="55">
        <f>H53</f>
        <v>3535040</v>
      </c>
      <c r="I43" s="55">
        <f t="shared" ref="I43:Q43" si="6">I53</f>
        <v>3666899</v>
      </c>
      <c r="J43" s="55">
        <f t="shared" si="6"/>
        <v>3506453</v>
      </c>
      <c r="K43" s="55">
        <f t="shared" si="6"/>
        <v>2550000</v>
      </c>
      <c r="L43" s="55">
        <f>L53</f>
        <v>2550000</v>
      </c>
      <c r="M43" s="55">
        <f t="shared" si="6"/>
        <v>2401170</v>
      </c>
      <c r="N43" s="55">
        <f t="shared" si="6"/>
        <v>62028</v>
      </c>
      <c r="O43" s="55">
        <f t="shared" si="6"/>
        <v>750523</v>
      </c>
      <c r="P43" s="55">
        <f t="shared" si="6"/>
        <v>1000000</v>
      </c>
      <c r="Q43" s="58">
        <f t="shared" si="6"/>
        <v>423949</v>
      </c>
    </row>
    <row r="44" spans="1:17" ht="14.25" customHeight="1">
      <c r="A44" s="85" t="s">
        <v>71</v>
      </c>
      <c r="B44" s="63" t="s">
        <v>236</v>
      </c>
      <c r="C44" s="62"/>
      <c r="D44" s="55"/>
      <c r="E44" s="55"/>
      <c r="F44" s="86"/>
      <c r="G44" s="382"/>
      <c r="H44" s="55">
        <f t="shared" ref="H44:H45" si="7">H54</f>
        <v>400000</v>
      </c>
      <c r="I44" s="55">
        <f t="shared" ref="I44:Q44" si="8">I54</f>
        <v>600000</v>
      </c>
      <c r="J44" s="55">
        <f t="shared" si="8"/>
        <v>600000</v>
      </c>
      <c r="K44" s="55">
        <f t="shared" si="8"/>
        <v>600000</v>
      </c>
      <c r="L44" s="55">
        <f t="shared" si="8"/>
        <v>700000</v>
      </c>
      <c r="M44" s="55">
        <f t="shared" si="8"/>
        <v>1400000</v>
      </c>
      <c r="N44" s="55">
        <f t="shared" si="8"/>
        <v>0</v>
      </c>
      <c r="O44" s="55">
        <f t="shared" si="8"/>
        <v>0</v>
      </c>
      <c r="P44" s="55">
        <f t="shared" si="8"/>
        <v>0</v>
      </c>
      <c r="Q44" s="58">
        <f t="shared" si="8"/>
        <v>0</v>
      </c>
    </row>
    <row r="45" spans="1:17" ht="15" customHeight="1">
      <c r="A45" s="85" t="s">
        <v>79</v>
      </c>
      <c r="B45" s="63" t="s">
        <v>94</v>
      </c>
      <c r="C45" s="62"/>
      <c r="D45" s="55"/>
      <c r="E45" s="55"/>
      <c r="F45" s="86"/>
      <c r="G45" s="382"/>
      <c r="H45" s="55">
        <f t="shared" si="7"/>
        <v>3000000</v>
      </c>
      <c r="I45" s="55">
        <f t="shared" ref="I45:Q45" si="9">I55</f>
        <v>3000000</v>
      </c>
      <c r="J45" s="55">
        <f t="shared" si="9"/>
        <v>3000000</v>
      </c>
      <c r="K45" s="55">
        <f t="shared" si="9"/>
        <v>3000000</v>
      </c>
      <c r="L45" s="55">
        <f t="shared" si="9"/>
        <v>3000000</v>
      </c>
      <c r="M45" s="55">
        <f t="shared" si="9"/>
        <v>3000000</v>
      </c>
      <c r="N45" s="55">
        <f t="shared" si="9"/>
        <v>5000000</v>
      </c>
      <c r="O45" s="55">
        <f t="shared" si="9"/>
        <v>2700000</v>
      </c>
      <c r="P45" s="55">
        <f t="shared" si="9"/>
        <v>2700000</v>
      </c>
      <c r="Q45" s="58">
        <f t="shared" si="9"/>
        <v>4100000</v>
      </c>
    </row>
    <row r="46" spans="1:17" ht="15.75" customHeight="1">
      <c r="A46" s="83" t="s">
        <v>145</v>
      </c>
      <c r="B46" s="195" t="s">
        <v>112</v>
      </c>
      <c r="C46" s="60">
        <f>WPF!D24+WPF!D53</f>
        <v>39684305</v>
      </c>
      <c r="D46" s="60">
        <f>WPF!E24+WPF!E53</f>
        <v>31400550</v>
      </c>
      <c r="E46" s="60">
        <f>WPF!F24+WPF!F53</f>
        <v>28859761</v>
      </c>
      <c r="F46" s="60">
        <f>WPF!G24+WPF!G53</f>
        <v>10245475</v>
      </c>
      <c r="G46" s="385">
        <f>WPF!H24+WPF!H53</f>
        <v>14427077</v>
      </c>
      <c r="H46" s="60">
        <f>WPF!I24+WPF!I53</f>
        <v>0</v>
      </c>
      <c r="I46" s="60">
        <f>WPF!J24+WPF!J53</f>
        <v>0</v>
      </c>
      <c r="J46" s="60">
        <f>WPF!K24+WPF!K53</f>
        <v>0</v>
      </c>
      <c r="K46" s="60">
        <f>WPF!L24+WPF!L53</f>
        <v>0</v>
      </c>
      <c r="L46" s="60">
        <f>WPF!M24+WPF!M53</f>
        <v>0</v>
      </c>
      <c r="M46" s="60">
        <f>WPF!N24+WPF!N53</f>
        <v>0</v>
      </c>
      <c r="N46" s="60">
        <f>WPF!O24+WPF!O53</f>
        <v>0</v>
      </c>
      <c r="O46" s="60">
        <f>WPF!P24+WPF!P53</f>
        <v>0</v>
      </c>
      <c r="P46" s="60">
        <f>WPF!Q24+WPF!Q53</f>
        <v>0</v>
      </c>
      <c r="Q46" s="61">
        <f>WPF!R24+WPF!R53</f>
        <v>0</v>
      </c>
    </row>
    <row r="47" spans="1:17" ht="11.25" customHeight="1">
      <c r="A47" s="185" t="s">
        <v>69</v>
      </c>
      <c r="B47" s="63" t="s">
        <v>92</v>
      </c>
      <c r="C47" s="54">
        <v>3355000</v>
      </c>
      <c r="D47" s="54">
        <v>7546170</v>
      </c>
      <c r="E47" s="54">
        <v>6330000</v>
      </c>
      <c r="F47" s="54"/>
      <c r="G47" s="382">
        <v>2500000</v>
      </c>
      <c r="H47" s="54"/>
      <c r="I47" s="54"/>
      <c r="J47" s="54"/>
      <c r="K47" s="54"/>
      <c r="L47" s="54"/>
      <c r="M47" s="54"/>
      <c r="N47" s="54"/>
      <c r="O47" s="54"/>
      <c r="P47" s="54"/>
      <c r="Q47" s="56"/>
    </row>
    <row r="48" spans="1:17" ht="11.25" customHeight="1">
      <c r="A48" s="185" t="s">
        <v>71</v>
      </c>
      <c r="B48" s="63" t="s">
        <v>93</v>
      </c>
      <c r="C48" s="54"/>
      <c r="D48" s="54">
        <v>4000000</v>
      </c>
      <c r="E48" s="54">
        <v>4810000</v>
      </c>
      <c r="F48" s="54"/>
      <c r="G48" s="382"/>
      <c r="H48" s="54"/>
      <c r="I48" s="54"/>
      <c r="J48" s="54"/>
      <c r="K48" s="54"/>
      <c r="L48" s="54"/>
      <c r="M48" s="54"/>
      <c r="N48" s="54"/>
      <c r="O48" s="54"/>
      <c r="P48" s="54"/>
      <c r="Q48" s="56"/>
    </row>
    <row r="49" spans="1:17" ht="11.25" customHeight="1">
      <c r="A49" s="185" t="s">
        <v>79</v>
      </c>
      <c r="B49" s="63" t="s">
        <v>100</v>
      </c>
      <c r="C49" s="54"/>
      <c r="D49" s="54"/>
      <c r="E49" s="54">
        <v>14000000</v>
      </c>
      <c r="F49" s="54">
        <v>9000000</v>
      </c>
      <c r="G49" s="382">
        <v>11500000</v>
      </c>
      <c r="H49" s="54"/>
      <c r="I49" s="54"/>
      <c r="J49" s="54"/>
      <c r="K49" s="54"/>
      <c r="L49" s="54"/>
      <c r="M49" s="54"/>
      <c r="N49" s="54"/>
      <c r="O49" s="54"/>
      <c r="P49" s="54"/>
      <c r="Q49" s="56"/>
    </row>
    <row r="50" spans="1:17" ht="51.75" customHeight="1">
      <c r="A50" s="185" t="s">
        <v>82</v>
      </c>
      <c r="B50" s="81" t="s">
        <v>101</v>
      </c>
      <c r="C50" s="54">
        <v>13695715</v>
      </c>
      <c r="D50" s="54">
        <v>15733115</v>
      </c>
      <c r="E50" s="54">
        <v>3719761</v>
      </c>
      <c r="F50" s="54">
        <v>1245475</v>
      </c>
      <c r="G50" s="382">
        <v>427077</v>
      </c>
      <c r="H50" s="54"/>
      <c r="I50" s="54"/>
      <c r="J50" s="54"/>
      <c r="K50" s="54"/>
      <c r="L50" s="54"/>
      <c r="M50" s="54"/>
      <c r="N50" s="54"/>
      <c r="O50" s="54"/>
      <c r="P50" s="54"/>
      <c r="Q50" s="56"/>
    </row>
    <row r="51" spans="1:17" ht="14.25" customHeight="1">
      <c r="A51" s="185" t="s">
        <v>143</v>
      </c>
      <c r="B51" s="82" t="s">
        <v>102</v>
      </c>
      <c r="C51" s="54">
        <v>22633590</v>
      </c>
      <c r="D51" s="54">
        <v>4121265</v>
      </c>
      <c r="E51" s="54"/>
      <c r="F51" s="54"/>
      <c r="G51" s="382"/>
      <c r="H51" s="54"/>
      <c r="I51" s="54"/>
      <c r="J51" s="54"/>
      <c r="K51" s="54"/>
      <c r="L51" s="54"/>
      <c r="M51" s="54"/>
      <c r="N51" s="54"/>
      <c r="O51" s="54"/>
      <c r="P51" s="54"/>
      <c r="Q51" s="56"/>
    </row>
    <row r="52" spans="1:17" ht="21" customHeight="1">
      <c r="A52" s="83" t="s">
        <v>233</v>
      </c>
      <c r="B52" s="195" t="s">
        <v>113</v>
      </c>
      <c r="C52" s="60">
        <f>WPF!D29+WPF!D34</f>
        <v>1167600</v>
      </c>
      <c r="D52" s="60">
        <f>WPF!E29+WPF!E34</f>
        <v>1422000</v>
      </c>
      <c r="E52" s="60">
        <f>WPF!F29+WPF!F34</f>
        <v>3463314</v>
      </c>
      <c r="F52" s="60">
        <f>WPF!G29+WPF!G34</f>
        <v>6980085</v>
      </c>
      <c r="G52" s="385">
        <f>WPF!H29+WPF!H34</f>
        <v>4551585</v>
      </c>
      <c r="H52" s="60">
        <f>WPF!I29+WPF!I34</f>
        <v>6935040</v>
      </c>
      <c r="I52" s="60">
        <f>WPF!J29+WPF!J34</f>
        <v>7266899</v>
      </c>
      <c r="J52" s="60">
        <f>WPF!K29+WPF!K34</f>
        <v>7106453</v>
      </c>
      <c r="K52" s="60">
        <f>WPF!L29+WPF!L34</f>
        <v>6150000</v>
      </c>
      <c r="L52" s="60">
        <f>WPF!M29+WPF!M34</f>
        <v>6250000</v>
      </c>
      <c r="M52" s="60">
        <f>WPF!N29+WPF!N34</f>
        <v>6801170</v>
      </c>
      <c r="N52" s="60">
        <f>WPF!O29+WPF!O34</f>
        <v>5062028</v>
      </c>
      <c r="O52" s="60">
        <f>WPF!P29+WPF!P34</f>
        <v>3450523</v>
      </c>
      <c r="P52" s="60">
        <f>WPF!Q29+WPF!Q34</f>
        <v>3700000</v>
      </c>
      <c r="Q52" s="61">
        <f>WPF!R29+WPF!R34</f>
        <v>4523949</v>
      </c>
    </row>
    <row r="53" spans="1:17" ht="12" customHeight="1">
      <c r="A53" s="85" t="s">
        <v>69</v>
      </c>
      <c r="B53" s="63" t="s">
        <v>92</v>
      </c>
      <c r="C53" s="62">
        <v>1167600</v>
      </c>
      <c r="D53" s="55">
        <v>1422000</v>
      </c>
      <c r="E53" s="55">
        <v>2963314</v>
      </c>
      <c r="F53" s="86">
        <v>3340085</v>
      </c>
      <c r="G53" s="382">
        <f>WPF!H30</f>
        <v>2141585</v>
      </c>
      <c r="H53" s="55">
        <f>WPF!I30</f>
        <v>3535040</v>
      </c>
      <c r="I53" s="55">
        <f>WPF!J30</f>
        <v>3666899</v>
      </c>
      <c r="J53" s="55">
        <f>WPF!K30</f>
        <v>3506453</v>
      </c>
      <c r="K53" s="55">
        <f>WPF!L30</f>
        <v>2550000</v>
      </c>
      <c r="L53" s="55">
        <f>WPF!M30</f>
        <v>2550000</v>
      </c>
      <c r="M53" s="55">
        <f>WPF!N30</f>
        <v>2401170</v>
      </c>
      <c r="N53" s="55">
        <f>WPF!O30</f>
        <v>62028</v>
      </c>
      <c r="O53" s="55">
        <f>WPF!P30</f>
        <v>750523</v>
      </c>
      <c r="P53" s="55">
        <f>WPF!Q30</f>
        <v>1000000</v>
      </c>
      <c r="Q53" s="58">
        <f>WPF!R30</f>
        <v>423949</v>
      </c>
    </row>
    <row r="54" spans="1:17" ht="12" customHeight="1">
      <c r="A54" s="85" t="s">
        <v>71</v>
      </c>
      <c r="B54" s="63" t="s">
        <v>93</v>
      </c>
      <c r="C54" s="62"/>
      <c r="D54" s="55"/>
      <c r="E54" s="55">
        <v>500000</v>
      </c>
      <c r="F54" s="86">
        <v>3600000</v>
      </c>
      <c r="G54" s="382">
        <f>WPF!H31</f>
        <v>410000</v>
      </c>
      <c r="H54" s="55">
        <f>WPF!I31</f>
        <v>400000</v>
      </c>
      <c r="I54" s="55">
        <f>WPF!J31</f>
        <v>600000</v>
      </c>
      <c r="J54" s="55">
        <f>WPF!K31</f>
        <v>600000</v>
      </c>
      <c r="K54" s="55">
        <f>WPF!L31</f>
        <v>600000</v>
      </c>
      <c r="L54" s="55">
        <f>WPF!M31</f>
        <v>700000</v>
      </c>
      <c r="M54" s="55">
        <f>WPF!N31</f>
        <v>1400000</v>
      </c>
      <c r="N54" s="55">
        <f>WPF!O31</f>
        <v>0</v>
      </c>
      <c r="O54" s="55">
        <f>WPF!P31</f>
        <v>0</v>
      </c>
      <c r="P54" s="55">
        <f>WPF!Q31</f>
        <v>0</v>
      </c>
      <c r="Q54" s="58">
        <f>WPF!R31</f>
        <v>0</v>
      </c>
    </row>
    <row r="55" spans="1:17" ht="12.75" customHeight="1">
      <c r="A55" s="85" t="s">
        <v>79</v>
      </c>
      <c r="B55" s="63" t="s">
        <v>94</v>
      </c>
      <c r="C55" s="62"/>
      <c r="D55" s="55"/>
      <c r="E55" s="55"/>
      <c r="F55" s="86"/>
      <c r="G55" s="382">
        <f>WPF!H32</f>
        <v>2000000</v>
      </c>
      <c r="H55" s="55">
        <f>WPF!I32</f>
        <v>3000000</v>
      </c>
      <c r="I55" s="55">
        <f>WPF!J32</f>
        <v>3000000</v>
      </c>
      <c r="J55" s="55">
        <f>WPF!K32</f>
        <v>3000000</v>
      </c>
      <c r="K55" s="55">
        <f>WPF!L32</f>
        <v>3000000</v>
      </c>
      <c r="L55" s="55">
        <f>WPF!M32</f>
        <v>3000000</v>
      </c>
      <c r="M55" s="55">
        <f>WPF!N32</f>
        <v>3000000</v>
      </c>
      <c r="N55" s="55">
        <f>WPF!O32</f>
        <v>5000000</v>
      </c>
      <c r="O55" s="55">
        <f>WPF!P32</f>
        <v>2700000</v>
      </c>
      <c r="P55" s="55">
        <f>WPF!Q32</f>
        <v>2700000</v>
      </c>
      <c r="Q55" s="58">
        <f>WPF!R32</f>
        <v>4100000</v>
      </c>
    </row>
    <row r="56" spans="1:17" ht="36" customHeight="1">
      <c r="A56" s="198">
        <v>16</v>
      </c>
      <c r="B56" s="199" t="s">
        <v>146</v>
      </c>
      <c r="C56" s="200">
        <f>(WPF!D14+WPF!D24)/'Prognoza długu'!C25%</f>
        <v>201.55468007536433</v>
      </c>
      <c r="D56" s="200">
        <f>(WPF!E14+WPF!E24)/'Prognoza długu'!D25%</f>
        <v>157.76974698298841</v>
      </c>
      <c r="E56" s="200">
        <f>(WPF!F14+WPF!F24)/'Prognoza długu'!E25%</f>
        <v>116.24893719986517</v>
      </c>
      <c r="F56" s="200">
        <f>(WPF!G14+WPF!G24)/'Prognoza długu'!F25%</f>
        <v>109.50668943564182</v>
      </c>
      <c r="G56" s="387">
        <f>(WPF!H14+WPF!H24)/'Prognoza długu'!G25%</f>
        <v>107.15295577456857</v>
      </c>
      <c r="H56" s="200">
        <f>(WPF!I14+WPF!I24)/'Prognoza długu'!H25%</f>
        <v>118.80853857617633</v>
      </c>
      <c r="I56" s="200">
        <f>(WPF!J14+WPF!J24)/'Prognoza długu'!I25%</f>
        <v>120.00516992547068</v>
      </c>
      <c r="J56" s="200">
        <f>(WPF!K14+WPF!K24)/'Prognoza długu'!J25%</f>
        <v>119.85353386993175</v>
      </c>
      <c r="K56" s="200">
        <f>(WPF!L14+WPF!L24)/'Prognoza długu'!K25%</f>
        <v>125.2965200671732</v>
      </c>
      <c r="L56" s="200">
        <f>(WPF!M14+WPF!M24)/'Prognoza długu'!L25%</f>
        <v>118.1364785074917</v>
      </c>
      <c r="M56" s="200">
        <f>(WPF!N14+WPF!N24)/'Prognoza długu'!M25%</f>
        <v>118.40114072118205</v>
      </c>
      <c r="N56" s="200">
        <f>(WPF!O14+WPF!O24)/'Prognoza długu'!N25%</f>
        <v>104.77565315504486</v>
      </c>
      <c r="O56" s="200">
        <f>(WPF!P14+WPF!P24)/'Prognoza długu'!O25%</f>
        <v>103.2176843388385</v>
      </c>
      <c r="P56" s="200">
        <f>(WPF!Q14+WPF!Q24)/'Prognoza długu'!P25%</f>
        <v>103.34135293259715</v>
      </c>
      <c r="Q56" s="201">
        <f>(WPF!R14+WPF!R24)/'Prognoza długu'!Q25%</f>
        <v>103.96369288377025</v>
      </c>
    </row>
    <row r="57" spans="1:17">
      <c r="A57" s="202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</row>
    <row r="58" spans="1:17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</row>
  </sheetData>
  <mergeCells count="11">
    <mergeCell ref="A39:A41"/>
    <mergeCell ref="B39:B41"/>
    <mergeCell ref="C39:Q39"/>
    <mergeCell ref="C40:F40"/>
    <mergeCell ref="G40:Q40"/>
    <mergeCell ref="A6:Q6"/>
    <mergeCell ref="A7:A9"/>
    <mergeCell ref="B7:B9"/>
    <mergeCell ref="C7:Q7"/>
    <mergeCell ref="G8:Q8"/>
    <mergeCell ref="C8:F8"/>
  </mergeCells>
  <printOptions horizontalCentered="1"/>
  <pageMargins left="0.59055118110236227" right="0.39370078740157483" top="0.98425196850393704" bottom="0.47244094488188981" header="0.51181102362204722" footer="0.51181102362204722"/>
  <pageSetup paperSize="9" scale="60" firstPageNumber="0" fitToHeight="2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77"/>
  <sheetViews>
    <sheetView view="pageLayout" topLeftCell="D8" zoomScaleNormal="90" workbookViewId="0">
      <selection activeCell="S16" sqref="S16"/>
    </sheetView>
  </sheetViews>
  <sheetFormatPr defaultColWidth="11.5703125" defaultRowHeight="12.75"/>
  <cols>
    <col min="1" max="1" width="5.28515625" customWidth="1"/>
    <col min="2" max="2" width="35.5703125" customWidth="1"/>
    <col min="3" max="3" width="10.42578125" style="31" customWidth="1"/>
    <col min="4" max="4" width="6.5703125" style="31" customWidth="1"/>
    <col min="5" max="5" width="7" style="31" customWidth="1"/>
    <col min="6" max="6" width="5" style="31" customWidth="1"/>
    <col min="7" max="7" width="7" style="31" customWidth="1"/>
    <col min="8" max="8" width="6" style="31" customWidth="1"/>
    <col min="9" max="9" width="16.7109375" style="31" customWidth="1"/>
    <col min="10" max="10" width="14.42578125" style="31" customWidth="1"/>
    <col min="11" max="11" width="11.42578125" style="31" customWidth="1"/>
    <col min="12" max="12" width="14.7109375" style="31" customWidth="1"/>
    <col min="13" max="13" width="12.85546875" style="31" customWidth="1"/>
    <col min="14" max="15" width="12.7109375" style="31" customWidth="1"/>
    <col min="16" max="16" width="12.5703125" style="31" customWidth="1"/>
    <col min="17" max="17" width="0.42578125" style="31" customWidth="1"/>
    <col min="18" max="18" width="16.5703125" customWidth="1"/>
    <col min="19" max="19" width="11.7109375" bestFit="1" customWidth="1"/>
  </cols>
  <sheetData>
    <row r="1" spans="1:29" s="34" customFormat="1" ht="15" customHeight="1">
      <c r="A1" s="203"/>
      <c r="B1" s="204"/>
      <c r="C1" s="204"/>
      <c r="D1" s="204"/>
      <c r="E1" s="204"/>
      <c r="F1" s="204"/>
      <c r="G1" s="205"/>
      <c r="H1" s="204"/>
      <c r="I1" s="204"/>
      <c r="J1" s="204"/>
      <c r="K1" s="204"/>
      <c r="L1" s="204"/>
      <c r="M1" s="204"/>
      <c r="N1" s="204"/>
      <c r="O1" s="204"/>
      <c r="P1" s="66" t="s">
        <v>147</v>
      </c>
      <c r="Q1" s="66"/>
      <c r="R1" s="204"/>
    </row>
    <row r="2" spans="1:29" s="37" customFormat="1" ht="4.5" customHeight="1">
      <c r="A2" s="203"/>
      <c r="B2" s="204"/>
      <c r="C2" s="204"/>
      <c r="D2" s="204"/>
      <c r="E2" s="204"/>
      <c r="F2" s="204"/>
      <c r="G2" s="206"/>
      <c r="H2" s="204"/>
      <c r="I2" s="204"/>
      <c r="J2" s="204"/>
      <c r="K2" s="204"/>
      <c r="L2" s="204"/>
      <c r="M2" s="204"/>
      <c r="N2" s="204"/>
      <c r="O2" s="204"/>
      <c r="P2" s="71"/>
      <c r="Q2" s="72"/>
      <c r="R2" s="204"/>
    </row>
    <row r="3" spans="1:29" s="37" customFormat="1" ht="12.75" customHeight="1">
      <c r="A3" s="203"/>
      <c r="B3" s="204"/>
      <c r="C3" s="204"/>
      <c r="D3" s="204"/>
      <c r="E3" s="204"/>
      <c r="F3" s="204"/>
      <c r="G3" s="207"/>
      <c r="H3" s="204"/>
      <c r="I3" s="204"/>
      <c r="J3" s="204"/>
      <c r="K3" s="204"/>
      <c r="L3" s="204"/>
      <c r="M3" s="204"/>
      <c r="N3" s="204"/>
      <c r="O3" s="204"/>
      <c r="P3" s="76" t="s">
        <v>255</v>
      </c>
      <c r="Q3" s="72"/>
      <c r="R3" s="204"/>
    </row>
    <row r="4" spans="1:29" s="37" customFormat="1" ht="12.75" customHeight="1">
      <c r="A4" s="203"/>
      <c r="B4" s="204"/>
      <c r="C4" s="204"/>
      <c r="D4" s="204"/>
      <c r="E4" s="204"/>
      <c r="F4" s="204"/>
      <c r="G4" s="207"/>
      <c r="H4" s="204"/>
      <c r="I4" s="204"/>
      <c r="J4" s="204"/>
      <c r="K4" s="204"/>
      <c r="L4" s="204"/>
      <c r="M4" s="204"/>
      <c r="N4" s="204"/>
      <c r="O4" s="204"/>
      <c r="P4" s="76" t="s">
        <v>49</v>
      </c>
      <c r="Q4" s="72"/>
      <c r="R4" s="204"/>
    </row>
    <row r="5" spans="1:29" s="37" customFormat="1" ht="12.75" customHeight="1" thickBot="1">
      <c r="A5" s="208"/>
      <c r="B5" s="209"/>
      <c r="C5" s="209"/>
      <c r="D5" s="209"/>
      <c r="E5" s="209"/>
      <c r="F5" s="209"/>
      <c r="G5" s="207"/>
      <c r="H5" s="209"/>
      <c r="I5" s="209"/>
      <c r="J5" s="209"/>
      <c r="K5" s="209"/>
      <c r="L5" s="209"/>
      <c r="M5" s="209"/>
      <c r="N5" s="209"/>
      <c r="O5" s="209"/>
      <c r="P5" s="76" t="s">
        <v>256</v>
      </c>
      <c r="Q5" s="72"/>
      <c r="R5" s="209"/>
    </row>
    <row r="6" spans="1:29" ht="12.75" customHeight="1">
      <c r="A6" s="580" t="s">
        <v>245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</row>
    <row r="7" spans="1:29" ht="21" customHeight="1" thickBot="1">
      <c r="A7" s="581"/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</row>
    <row r="8" spans="1:29" ht="24" customHeight="1">
      <c r="A8" s="596" t="s">
        <v>115</v>
      </c>
      <c r="B8" s="599" t="s">
        <v>148</v>
      </c>
      <c r="C8" s="593" t="s">
        <v>149</v>
      </c>
      <c r="D8" s="591" t="s">
        <v>150</v>
      </c>
      <c r="E8" s="591"/>
      <c r="F8" s="591" t="s">
        <v>151</v>
      </c>
      <c r="G8" s="591"/>
      <c r="H8" s="591"/>
      <c r="I8" s="582" t="s">
        <v>152</v>
      </c>
      <c r="J8" s="582" t="s">
        <v>153</v>
      </c>
      <c r="K8" s="582"/>
      <c r="L8" s="582"/>
      <c r="M8" s="582"/>
      <c r="N8" s="582"/>
      <c r="O8" s="582"/>
      <c r="P8" s="582"/>
      <c r="Q8" s="582"/>
      <c r="R8" s="586" t="s">
        <v>154</v>
      </c>
    </row>
    <row r="9" spans="1:29" ht="18" customHeight="1">
      <c r="A9" s="597"/>
      <c r="B9" s="600"/>
      <c r="C9" s="594"/>
      <c r="D9" s="592"/>
      <c r="E9" s="592"/>
      <c r="F9" s="592"/>
      <c r="G9" s="592"/>
      <c r="H9" s="592"/>
      <c r="I9" s="602"/>
      <c r="J9" s="589">
        <v>2011</v>
      </c>
      <c r="K9" s="589"/>
      <c r="L9" s="590"/>
      <c r="M9" s="578">
        <v>2012</v>
      </c>
      <c r="N9" s="578">
        <v>2013</v>
      </c>
      <c r="O9" s="578">
        <v>2014</v>
      </c>
      <c r="P9" s="578">
        <v>2015</v>
      </c>
      <c r="Q9" s="210">
        <v>2015</v>
      </c>
      <c r="R9" s="587"/>
    </row>
    <row r="10" spans="1:29" ht="32.25" customHeight="1">
      <c r="A10" s="598"/>
      <c r="B10" s="601"/>
      <c r="C10" s="595"/>
      <c r="D10" s="210" t="s">
        <v>155</v>
      </c>
      <c r="E10" s="210" t="s">
        <v>156</v>
      </c>
      <c r="F10" s="210" t="s">
        <v>157</v>
      </c>
      <c r="G10" s="210" t="s">
        <v>158</v>
      </c>
      <c r="H10" s="210" t="s">
        <v>159</v>
      </c>
      <c r="I10" s="592"/>
      <c r="J10" s="211" t="s">
        <v>228</v>
      </c>
      <c r="K10" s="211" t="s">
        <v>229</v>
      </c>
      <c r="L10" s="211" t="s">
        <v>230</v>
      </c>
      <c r="M10" s="579"/>
      <c r="N10" s="579"/>
      <c r="O10" s="579"/>
      <c r="P10" s="579"/>
      <c r="Q10" s="210"/>
      <c r="R10" s="588"/>
    </row>
    <row r="11" spans="1:29" s="32" customFormat="1" ht="18.75" customHeight="1">
      <c r="A11" s="212"/>
      <c r="B11" s="213" t="s">
        <v>160</v>
      </c>
      <c r="C11" s="214" t="s">
        <v>84</v>
      </c>
      <c r="D11" s="214" t="s">
        <v>84</v>
      </c>
      <c r="E11" s="214" t="s">
        <v>84</v>
      </c>
      <c r="F11" s="214"/>
      <c r="G11" s="214"/>
      <c r="H11" s="214"/>
      <c r="I11" s="215">
        <f>I12+I13</f>
        <v>179624861</v>
      </c>
      <c r="J11" s="216">
        <f>J12+J13</f>
        <v>44099705</v>
      </c>
      <c r="K11" s="390">
        <f t="shared" ref="K11:L11" si="0">K12+K13</f>
        <v>-16000000</v>
      </c>
      <c r="L11" s="216">
        <f t="shared" si="0"/>
        <v>28099705</v>
      </c>
      <c r="M11" s="215">
        <f>M12+M13</f>
        <v>78210376</v>
      </c>
      <c r="N11" s="215">
        <f>N12+N13</f>
        <v>25461461</v>
      </c>
      <c r="O11" s="217">
        <f>O12+O13</f>
        <v>11729400</v>
      </c>
      <c r="P11" s="217">
        <f>P12+P13</f>
        <v>29000000</v>
      </c>
      <c r="Q11" s="218">
        <v>0</v>
      </c>
      <c r="R11" s="219">
        <f t="shared" ref="R11:R16" si="1">SUM(L11:P11)</f>
        <v>172500942</v>
      </c>
    </row>
    <row r="12" spans="1:29" s="38" customFormat="1" ht="14.25" customHeight="1">
      <c r="A12" s="220"/>
      <c r="B12" s="221" t="s">
        <v>161</v>
      </c>
      <c r="C12" s="110" t="s">
        <v>84</v>
      </c>
      <c r="D12" s="110" t="s">
        <v>84</v>
      </c>
      <c r="E12" s="110" t="s">
        <v>84</v>
      </c>
      <c r="F12" s="110"/>
      <c r="G12" s="110"/>
      <c r="H12" s="110"/>
      <c r="I12" s="222">
        <f>I63</f>
        <v>1926034</v>
      </c>
      <c r="J12" s="223">
        <f>J63</f>
        <v>687917</v>
      </c>
      <c r="K12" s="223">
        <f t="shared" ref="K12" si="2">K63</f>
        <v>0</v>
      </c>
      <c r="L12" s="223">
        <f>L63</f>
        <v>687917</v>
      </c>
      <c r="M12" s="222">
        <f>M63</f>
        <v>687917</v>
      </c>
      <c r="N12" s="222">
        <f>N63</f>
        <v>550200</v>
      </c>
      <c r="O12" s="222">
        <f>O63</f>
        <v>329400</v>
      </c>
      <c r="P12" s="222">
        <f>P63</f>
        <v>0</v>
      </c>
      <c r="Q12" s="224">
        <v>0</v>
      </c>
      <c r="R12" s="225">
        <f t="shared" si="1"/>
        <v>2255434</v>
      </c>
    </row>
    <row r="13" spans="1:29" s="38" customFormat="1" ht="14.25" customHeight="1">
      <c r="A13" s="220"/>
      <c r="B13" s="221" t="s">
        <v>162</v>
      </c>
      <c r="C13" s="110" t="s">
        <v>84</v>
      </c>
      <c r="D13" s="110" t="s">
        <v>84</v>
      </c>
      <c r="E13" s="110" t="s">
        <v>84</v>
      </c>
      <c r="F13" s="110"/>
      <c r="G13" s="110"/>
      <c r="H13" s="110"/>
      <c r="I13" s="222">
        <f t="shared" ref="I13:P14" si="3">I14</f>
        <v>177698827</v>
      </c>
      <c r="J13" s="223">
        <f t="shared" si="3"/>
        <v>43411788</v>
      </c>
      <c r="K13" s="223">
        <f t="shared" si="3"/>
        <v>-16000000</v>
      </c>
      <c r="L13" s="223">
        <f t="shared" si="3"/>
        <v>27411788</v>
      </c>
      <c r="M13" s="222">
        <f t="shared" si="3"/>
        <v>77522459</v>
      </c>
      <c r="N13" s="222">
        <f t="shared" si="3"/>
        <v>24911261</v>
      </c>
      <c r="O13" s="222">
        <f t="shared" si="3"/>
        <v>11400000</v>
      </c>
      <c r="P13" s="222">
        <f t="shared" si="3"/>
        <v>29000000</v>
      </c>
      <c r="Q13" s="224">
        <v>0</v>
      </c>
      <c r="R13" s="225">
        <f t="shared" si="1"/>
        <v>170245508</v>
      </c>
      <c r="S13" s="39"/>
    </row>
    <row r="14" spans="1:29" s="40" customFormat="1" ht="18.75" customHeight="1">
      <c r="A14" s="226" t="s">
        <v>163</v>
      </c>
      <c r="B14" s="227" t="s">
        <v>164</v>
      </c>
      <c r="C14" s="228" t="s">
        <v>84</v>
      </c>
      <c r="D14" s="228" t="s">
        <v>84</v>
      </c>
      <c r="E14" s="228" t="s">
        <v>84</v>
      </c>
      <c r="F14" s="228"/>
      <c r="G14" s="228"/>
      <c r="H14" s="228"/>
      <c r="I14" s="229">
        <f>I15</f>
        <v>177698827</v>
      </c>
      <c r="J14" s="230">
        <f t="shared" si="3"/>
        <v>43411788</v>
      </c>
      <c r="K14" s="391">
        <f t="shared" si="3"/>
        <v>-16000000</v>
      </c>
      <c r="L14" s="230">
        <f t="shared" si="3"/>
        <v>27411788</v>
      </c>
      <c r="M14" s="229">
        <f t="shared" si="3"/>
        <v>77522459</v>
      </c>
      <c r="N14" s="229">
        <f t="shared" si="3"/>
        <v>24911261</v>
      </c>
      <c r="O14" s="231">
        <f>O15</f>
        <v>11400000</v>
      </c>
      <c r="P14" s="231">
        <f>P15</f>
        <v>29000000</v>
      </c>
      <c r="Q14" s="229">
        <f>Q15</f>
        <v>0</v>
      </c>
      <c r="R14" s="232">
        <f t="shared" si="1"/>
        <v>170245508</v>
      </c>
    </row>
    <row r="15" spans="1:29" s="38" customFormat="1" ht="15.75">
      <c r="A15" s="220"/>
      <c r="B15" s="221" t="s">
        <v>162</v>
      </c>
      <c r="C15" s="110" t="s">
        <v>84</v>
      </c>
      <c r="D15" s="110" t="s">
        <v>84</v>
      </c>
      <c r="E15" s="110" t="s">
        <v>84</v>
      </c>
      <c r="F15" s="110"/>
      <c r="G15" s="110"/>
      <c r="H15" s="110"/>
      <c r="I15" s="222">
        <f>I17+I52</f>
        <v>177698827</v>
      </c>
      <c r="J15" s="223">
        <f t="shared" ref="J15:Q15" si="4">J17+J52</f>
        <v>43411788</v>
      </c>
      <c r="K15" s="223">
        <f t="shared" si="4"/>
        <v>-16000000</v>
      </c>
      <c r="L15" s="223">
        <f t="shared" si="4"/>
        <v>27411788</v>
      </c>
      <c r="M15" s="222">
        <f t="shared" si="4"/>
        <v>77522459</v>
      </c>
      <c r="N15" s="222">
        <f t="shared" si="4"/>
        <v>24911261</v>
      </c>
      <c r="O15" s="222">
        <f t="shared" ref="O15" si="5">O17+O52</f>
        <v>11400000</v>
      </c>
      <c r="P15" s="222">
        <f t="shared" si="4"/>
        <v>29000000</v>
      </c>
      <c r="Q15" s="222">
        <f t="shared" si="4"/>
        <v>0</v>
      </c>
      <c r="R15" s="225">
        <f>SUM(L15:P15)</f>
        <v>170245508</v>
      </c>
      <c r="S15" s="514">
        <f>S18+S52</f>
        <v>170245508</v>
      </c>
      <c r="T15" s="41"/>
      <c r="U15" s="41"/>
      <c r="V15" s="41"/>
    </row>
    <row r="16" spans="1:29" s="44" customFormat="1" ht="79.5" customHeight="1">
      <c r="A16" s="226" t="s">
        <v>165</v>
      </c>
      <c r="B16" s="227" t="s">
        <v>166</v>
      </c>
      <c r="C16" s="228" t="s">
        <v>84</v>
      </c>
      <c r="D16" s="228" t="s">
        <v>84</v>
      </c>
      <c r="E16" s="228" t="s">
        <v>84</v>
      </c>
      <c r="F16" s="228"/>
      <c r="G16" s="228"/>
      <c r="H16" s="228"/>
      <c r="I16" s="229">
        <f>I17</f>
        <v>164017295</v>
      </c>
      <c r="J16" s="230">
        <f>J17</f>
        <v>41928588</v>
      </c>
      <c r="K16" s="391">
        <f t="shared" ref="K16:L16" si="6">K17</f>
        <v>-16000000</v>
      </c>
      <c r="L16" s="230">
        <f t="shared" si="6"/>
        <v>25928588</v>
      </c>
      <c r="M16" s="229">
        <f>M17</f>
        <v>68670459</v>
      </c>
      <c r="N16" s="229">
        <f>N17</f>
        <v>21911261</v>
      </c>
      <c r="O16" s="229">
        <f>O17</f>
        <v>11400000</v>
      </c>
      <c r="P16" s="229">
        <f>P17</f>
        <v>29000000</v>
      </c>
      <c r="Q16" s="228">
        <v>0</v>
      </c>
      <c r="R16" s="232">
        <f t="shared" si="1"/>
        <v>156910308</v>
      </c>
      <c r="S16" s="42"/>
      <c r="T16" s="42"/>
      <c r="U16" s="42"/>
      <c r="V16" s="42"/>
      <c r="W16" s="43"/>
      <c r="X16" s="43"/>
      <c r="Y16" s="43"/>
      <c r="Z16" s="43"/>
      <c r="AA16" s="43"/>
      <c r="AB16" s="43"/>
      <c r="AC16" s="43"/>
    </row>
    <row r="17" spans="1:19" s="38" customFormat="1" ht="15.75">
      <c r="A17" s="220"/>
      <c r="B17" s="221" t="s">
        <v>162</v>
      </c>
      <c r="C17" s="110" t="s">
        <v>84</v>
      </c>
      <c r="D17" s="110" t="s">
        <v>84</v>
      </c>
      <c r="E17" s="110" t="s">
        <v>84</v>
      </c>
      <c r="F17" s="110"/>
      <c r="G17" s="110"/>
      <c r="H17" s="110"/>
      <c r="I17" s="222">
        <f>I18+I28+I42</f>
        <v>164017295</v>
      </c>
      <c r="J17" s="223">
        <f>J18+J28+J42</f>
        <v>41928588</v>
      </c>
      <c r="K17" s="223">
        <f t="shared" ref="K17:L17" si="7">K18+K28+K42</f>
        <v>-16000000</v>
      </c>
      <c r="L17" s="223">
        <f t="shared" si="7"/>
        <v>25928588</v>
      </c>
      <c r="M17" s="222">
        <f t="shared" ref="M17:Q17" si="8">M18+M28+M42</f>
        <v>68670459</v>
      </c>
      <c r="N17" s="222">
        <f t="shared" si="8"/>
        <v>21911261</v>
      </c>
      <c r="O17" s="222">
        <f t="shared" ref="O17" si="9">O18+O28+O42</f>
        <v>11400000</v>
      </c>
      <c r="P17" s="222">
        <f t="shared" si="8"/>
        <v>29000000</v>
      </c>
      <c r="Q17" s="222">
        <f t="shared" si="8"/>
        <v>0</v>
      </c>
      <c r="R17" s="233">
        <f>R18+R28+R42</f>
        <v>156910308</v>
      </c>
    </row>
    <row r="18" spans="1:19" s="45" customFormat="1" ht="30.75" customHeight="1">
      <c r="A18" s="234" t="s">
        <v>167</v>
      </c>
      <c r="B18" s="235" t="s">
        <v>168</v>
      </c>
      <c r="C18" s="236" t="s">
        <v>169</v>
      </c>
      <c r="D18" s="237">
        <v>2004</v>
      </c>
      <c r="E18" s="237">
        <v>2013</v>
      </c>
      <c r="F18" s="583" t="s">
        <v>170</v>
      </c>
      <c r="G18" s="583"/>
      <c r="H18" s="583"/>
      <c r="I18" s="238">
        <f>I24+I19</f>
        <v>65028060</v>
      </c>
      <c r="J18" s="239">
        <f>J24+J19</f>
        <v>16643233</v>
      </c>
      <c r="K18" s="239">
        <f t="shared" ref="K18:L18" si="10">K24+K19</f>
        <v>0</v>
      </c>
      <c r="L18" s="239">
        <f t="shared" si="10"/>
        <v>16643233</v>
      </c>
      <c r="M18" s="238">
        <f>M24+M19</f>
        <v>39440541</v>
      </c>
      <c r="N18" s="238">
        <f>N24+N19</f>
        <v>4351261</v>
      </c>
      <c r="O18" s="238">
        <f>O24+O19</f>
        <v>0</v>
      </c>
      <c r="P18" s="238">
        <f>P24+P19</f>
        <v>0</v>
      </c>
      <c r="Q18" s="240"/>
      <c r="R18" s="241">
        <f>SUM(L18:P18)</f>
        <v>60435035</v>
      </c>
      <c r="S18" s="513">
        <f>SUM(L17:P17)</f>
        <v>156910308</v>
      </c>
    </row>
    <row r="19" spans="1:19" s="19" customFormat="1" ht="15.75" customHeight="1">
      <c r="A19" s="242" t="s">
        <v>171</v>
      </c>
      <c r="B19" s="584" t="s">
        <v>172</v>
      </c>
      <c r="C19" s="243" t="s">
        <v>173</v>
      </c>
      <c r="D19" s="244">
        <v>2004</v>
      </c>
      <c r="E19" s="244">
        <v>2013</v>
      </c>
      <c r="F19" s="585" t="s">
        <v>174</v>
      </c>
      <c r="G19" s="585"/>
      <c r="H19" s="585"/>
      <c r="I19" s="245">
        <f>SUM(I20:I22)</f>
        <v>35458951</v>
      </c>
      <c r="J19" s="223">
        <f>SUM(J20:J22)</f>
        <v>4733123</v>
      </c>
      <c r="K19" s="223">
        <f t="shared" ref="K19:L19" si="11">SUM(K20:K22)</f>
        <v>0</v>
      </c>
      <c r="L19" s="223">
        <f t="shared" si="11"/>
        <v>4733123</v>
      </c>
      <c r="M19" s="245">
        <f>SUM(M20:M22)</f>
        <v>24551540</v>
      </c>
      <c r="N19" s="245">
        <f>SUM(N20:N22)</f>
        <v>4351261</v>
      </c>
      <c r="O19" s="388">
        <v>0</v>
      </c>
      <c r="P19" s="244">
        <v>0</v>
      </c>
      <c r="Q19" s="244">
        <v>0</v>
      </c>
      <c r="R19" s="225">
        <f>SUM(L19:P19)</f>
        <v>33635924</v>
      </c>
    </row>
    <row r="20" spans="1:19" s="19" customFormat="1">
      <c r="A20" s="242"/>
      <c r="B20" s="584"/>
      <c r="C20" s="246"/>
      <c r="D20" s="246"/>
      <c r="E20" s="246"/>
      <c r="F20" s="246" t="s">
        <v>175</v>
      </c>
      <c r="G20" s="246" t="s">
        <v>176</v>
      </c>
      <c r="H20" s="246">
        <v>6050</v>
      </c>
      <c r="I20" s="247">
        <v>4898951</v>
      </c>
      <c r="J20" s="248">
        <v>946123</v>
      </c>
      <c r="K20" s="248"/>
      <c r="L20" s="248">
        <f>J20+K20</f>
        <v>946123</v>
      </c>
      <c r="M20" s="247">
        <v>2139000</v>
      </c>
      <c r="N20" s="249"/>
      <c r="O20" s="250"/>
      <c r="P20" s="250"/>
      <c r="Q20" s="250"/>
      <c r="R20" s="251">
        <f t="shared" ref="R20:R21" si="12">SUM(L20:P20)</f>
        <v>3085123</v>
      </c>
    </row>
    <row r="21" spans="1:19" s="19" customFormat="1">
      <c r="A21" s="242"/>
      <c r="B21" s="252"/>
      <c r="C21" s="253"/>
      <c r="D21" s="253"/>
      <c r="E21" s="253"/>
      <c r="F21" s="253"/>
      <c r="G21" s="253"/>
      <c r="H21" s="253">
        <v>6058</v>
      </c>
      <c r="I21" s="254">
        <f>SUM(L21:N21)</f>
        <v>21555500</v>
      </c>
      <c r="J21" s="255"/>
      <c r="K21" s="255"/>
      <c r="L21" s="255">
        <f t="shared" ref="L21:L22" si="13">J21+K21</f>
        <v>0</v>
      </c>
      <c r="M21" s="254">
        <v>17722999</v>
      </c>
      <c r="N21" s="256">
        <v>3832501</v>
      </c>
      <c r="O21" s="257"/>
      <c r="P21" s="257"/>
      <c r="Q21" s="257"/>
      <c r="R21" s="258">
        <f t="shared" si="12"/>
        <v>21555500</v>
      </c>
    </row>
    <row r="22" spans="1:19" s="19" customFormat="1">
      <c r="A22" s="242"/>
      <c r="B22" s="259"/>
      <c r="C22" s="260"/>
      <c r="D22" s="260"/>
      <c r="E22" s="260"/>
      <c r="F22" s="260"/>
      <c r="G22" s="260"/>
      <c r="H22" s="260">
        <v>6059</v>
      </c>
      <c r="I22" s="261">
        <v>9004500</v>
      </c>
      <c r="J22" s="262">
        <v>3787000</v>
      </c>
      <c r="K22" s="262"/>
      <c r="L22" s="262">
        <f t="shared" si="13"/>
        <v>3787000</v>
      </c>
      <c r="M22" s="261">
        <v>4689541</v>
      </c>
      <c r="N22" s="263">
        <v>518760</v>
      </c>
      <c r="O22" s="264"/>
      <c r="P22" s="264"/>
      <c r="Q22" s="264"/>
      <c r="R22" s="265">
        <f>SUM(L22:P22)</f>
        <v>8995301</v>
      </c>
    </row>
    <row r="23" spans="1:19" s="19" customFormat="1" ht="9" customHeight="1">
      <c r="A23" s="242"/>
      <c r="B23" s="266"/>
      <c r="C23" s="243"/>
      <c r="D23" s="267"/>
      <c r="E23" s="267"/>
      <c r="F23" s="268"/>
      <c r="G23" s="269"/>
      <c r="H23" s="270"/>
      <c r="I23" s="62"/>
      <c r="J23" s="271"/>
      <c r="K23" s="271"/>
      <c r="L23" s="271"/>
      <c r="M23" s="62"/>
      <c r="N23" s="245"/>
      <c r="O23" s="388"/>
      <c r="P23" s="244"/>
      <c r="Q23" s="244"/>
      <c r="R23" s="225">
        <f t="shared" ref="R23" si="14">SUM(J23:P23)</f>
        <v>0</v>
      </c>
    </row>
    <row r="24" spans="1:19" s="19" customFormat="1" ht="14.25" customHeight="1">
      <c r="A24" s="242" t="s">
        <v>177</v>
      </c>
      <c r="B24" s="604" t="s">
        <v>178</v>
      </c>
      <c r="C24" s="243" t="s">
        <v>173</v>
      </c>
      <c r="D24" s="267">
        <v>2004</v>
      </c>
      <c r="E24" s="267">
        <v>2012</v>
      </c>
      <c r="F24" s="605" t="s">
        <v>174</v>
      </c>
      <c r="G24" s="605"/>
      <c r="H24" s="605"/>
      <c r="I24" s="245">
        <f>SUM(I25:I27)</f>
        <v>29569109</v>
      </c>
      <c r="J24" s="223">
        <f>SUM(J25:J27)</f>
        <v>11910110</v>
      </c>
      <c r="K24" s="223">
        <f>SUM(K25:K27)</f>
        <v>0</v>
      </c>
      <c r="L24" s="223">
        <f>J24+K24</f>
        <v>11910110</v>
      </c>
      <c r="M24" s="245">
        <f>SUM(M25:M27)</f>
        <v>14889001</v>
      </c>
      <c r="N24" s="245">
        <f>SUM(N25:N27)</f>
        <v>0</v>
      </c>
      <c r="O24" s="388">
        <v>0</v>
      </c>
      <c r="P24" s="244">
        <v>0</v>
      </c>
      <c r="Q24" s="244">
        <v>0</v>
      </c>
      <c r="R24" s="225">
        <f>SUM(L24:P24)</f>
        <v>26799111</v>
      </c>
    </row>
    <row r="25" spans="1:19" s="19" customFormat="1">
      <c r="A25" s="242"/>
      <c r="B25" s="604"/>
      <c r="C25" s="243"/>
      <c r="D25" s="267"/>
      <c r="E25" s="267"/>
      <c r="F25" s="246" t="s">
        <v>175</v>
      </c>
      <c r="G25" s="246" t="s">
        <v>176</v>
      </c>
      <c r="H25" s="246">
        <v>6050</v>
      </c>
      <c r="I25" s="247">
        <v>5650314</v>
      </c>
      <c r="J25" s="248">
        <v>2181315</v>
      </c>
      <c r="K25" s="248"/>
      <c r="L25" s="272">
        <f t="shared" ref="L25:L50" si="15">J25+K25</f>
        <v>2181315</v>
      </c>
      <c r="M25" s="247">
        <v>699001</v>
      </c>
      <c r="N25" s="249"/>
      <c r="O25" s="250"/>
      <c r="P25" s="250"/>
      <c r="Q25" s="250"/>
      <c r="R25" s="251">
        <f>SUM(L25:P25)</f>
        <v>2880316</v>
      </c>
    </row>
    <row r="26" spans="1:19" s="19" customFormat="1">
      <c r="A26" s="242"/>
      <c r="B26" s="259"/>
      <c r="C26" s="243"/>
      <c r="D26" s="267"/>
      <c r="E26" s="267"/>
      <c r="F26" s="253"/>
      <c r="G26" s="253"/>
      <c r="H26" s="253">
        <v>6058</v>
      </c>
      <c r="I26" s="254">
        <f>SUM(L26:N26)</f>
        <v>19711490</v>
      </c>
      <c r="J26" s="255">
        <v>9076490</v>
      </c>
      <c r="K26" s="255"/>
      <c r="L26" s="273">
        <f t="shared" si="15"/>
        <v>9076490</v>
      </c>
      <c r="M26" s="254">
        <v>10635000</v>
      </c>
      <c r="N26" s="256"/>
      <c r="O26" s="257"/>
      <c r="P26" s="257"/>
      <c r="Q26" s="257"/>
      <c r="R26" s="258">
        <f t="shared" ref="R26" si="16">SUM(L26:P26)</f>
        <v>19711490</v>
      </c>
    </row>
    <row r="27" spans="1:19" s="19" customFormat="1" ht="15.75">
      <c r="A27" s="242"/>
      <c r="B27" s="274"/>
      <c r="C27" s="275"/>
      <c r="D27" s="276"/>
      <c r="E27" s="267"/>
      <c r="F27" s="260"/>
      <c r="G27" s="260"/>
      <c r="H27" s="260">
        <v>6059</v>
      </c>
      <c r="I27" s="261">
        <f>SUM(L27:N27)</f>
        <v>4207305</v>
      </c>
      <c r="J27" s="262">
        <v>652305</v>
      </c>
      <c r="K27" s="262"/>
      <c r="L27" s="277">
        <f t="shared" si="15"/>
        <v>652305</v>
      </c>
      <c r="M27" s="261">
        <v>3555000</v>
      </c>
      <c r="N27" s="263"/>
      <c r="O27" s="264"/>
      <c r="P27" s="264"/>
      <c r="Q27" s="264"/>
      <c r="R27" s="265">
        <f t="shared" ref="R27:R35" si="17">SUM(L27:P27)</f>
        <v>4207305</v>
      </c>
    </row>
    <row r="28" spans="1:19" s="40" customFormat="1" ht="15.6" customHeight="1">
      <c r="A28" s="278" t="s">
        <v>179</v>
      </c>
      <c r="B28" s="279" t="s">
        <v>180</v>
      </c>
      <c r="C28" s="280" t="s">
        <v>169</v>
      </c>
      <c r="D28" s="280">
        <v>2009</v>
      </c>
      <c r="E28" s="280">
        <v>2012</v>
      </c>
      <c r="F28" s="603" t="s">
        <v>181</v>
      </c>
      <c r="G28" s="603"/>
      <c r="H28" s="603"/>
      <c r="I28" s="281">
        <f>SUM(I29+I32+I35+I39)</f>
        <v>6127780</v>
      </c>
      <c r="J28" s="282">
        <f>J29+J32+J35+J39</f>
        <v>3515122</v>
      </c>
      <c r="K28" s="282">
        <f t="shared" ref="K28:L28" si="18">K29+K32+K35+K39</f>
        <v>0</v>
      </c>
      <c r="L28" s="282">
        <f t="shared" si="18"/>
        <v>3515122</v>
      </c>
      <c r="M28" s="283">
        <f>M29+M32+M35+M39</f>
        <v>2469918</v>
      </c>
      <c r="N28" s="283">
        <f>N29+N32+N35+N39</f>
        <v>0</v>
      </c>
      <c r="O28" s="283">
        <f>SUM(O29:O39)</f>
        <v>0</v>
      </c>
      <c r="P28" s="283">
        <f>SUM(P29:P39)</f>
        <v>0</v>
      </c>
      <c r="Q28" s="284"/>
      <c r="R28" s="285">
        <f>SUM(L28:P28)</f>
        <v>5985040</v>
      </c>
      <c r="S28" s="46">
        <f>S29+S32+S35+S39</f>
        <v>5985040</v>
      </c>
    </row>
    <row r="29" spans="1:19" s="19" customFormat="1" ht="13.35" customHeight="1">
      <c r="A29" s="242" t="s">
        <v>182</v>
      </c>
      <c r="B29" s="259" t="s">
        <v>183</v>
      </c>
      <c r="C29" s="286" t="s">
        <v>184</v>
      </c>
      <c r="D29" s="286">
        <v>2010</v>
      </c>
      <c r="E29" s="286">
        <v>2012</v>
      </c>
      <c r="F29" s="608" t="s">
        <v>174</v>
      </c>
      <c r="G29" s="608"/>
      <c r="H29" s="608"/>
      <c r="I29" s="287">
        <f>SUM(I30:I31)</f>
        <v>1500000</v>
      </c>
      <c r="J29" s="271">
        <f>SUM(J30:J31)</f>
        <v>875000</v>
      </c>
      <c r="K29" s="271"/>
      <c r="L29" s="223">
        <f t="shared" si="15"/>
        <v>875000</v>
      </c>
      <c r="M29" s="287">
        <f>SUM(M30:M31)</f>
        <v>620120</v>
      </c>
      <c r="N29" s="287">
        <f>SUM(N30:N31)</f>
        <v>0</v>
      </c>
      <c r="O29" s="288">
        <v>0</v>
      </c>
      <c r="P29" s="288">
        <v>0</v>
      </c>
      <c r="Q29" s="288">
        <v>0</v>
      </c>
      <c r="R29" s="289">
        <f t="shared" si="17"/>
        <v>1495120</v>
      </c>
      <c r="S29" s="30">
        <f>R30+R31</f>
        <v>1495120</v>
      </c>
    </row>
    <row r="30" spans="1:19" s="19" customFormat="1">
      <c r="A30" s="242"/>
      <c r="B30" s="259"/>
      <c r="C30" s="246"/>
      <c r="D30" s="246"/>
      <c r="E30" s="246"/>
      <c r="F30" s="246">
        <v>921</v>
      </c>
      <c r="G30" s="246">
        <v>92109</v>
      </c>
      <c r="H30" s="246">
        <v>6058</v>
      </c>
      <c r="I30" s="247">
        <f>SUM(L30:N30)</f>
        <v>1275000</v>
      </c>
      <c r="J30" s="248">
        <v>800000</v>
      </c>
      <c r="K30" s="248"/>
      <c r="L30" s="272">
        <f t="shared" si="15"/>
        <v>800000</v>
      </c>
      <c r="M30" s="247">
        <v>475000</v>
      </c>
      <c r="N30" s="250"/>
      <c r="O30" s="250"/>
      <c r="P30" s="250"/>
      <c r="Q30" s="250"/>
      <c r="R30" s="251">
        <f t="shared" si="17"/>
        <v>1275000</v>
      </c>
    </row>
    <row r="31" spans="1:19" s="19" customFormat="1">
      <c r="A31" s="242"/>
      <c r="B31" s="259"/>
      <c r="C31" s="260"/>
      <c r="D31" s="260"/>
      <c r="E31" s="260"/>
      <c r="F31" s="260"/>
      <c r="G31" s="260"/>
      <c r="H31" s="260">
        <v>6059</v>
      </c>
      <c r="I31" s="261">
        <v>225000</v>
      </c>
      <c r="J31" s="262">
        <v>75000</v>
      </c>
      <c r="K31" s="262"/>
      <c r="L31" s="277">
        <f t="shared" si="15"/>
        <v>75000</v>
      </c>
      <c r="M31" s="261">
        <v>145120</v>
      </c>
      <c r="N31" s="264"/>
      <c r="O31" s="264"/>
      <c r="P31" s="264"/>
      <c r="Q31" s="264"/>
      <c r="R31" s="265">
        <f t="shared" si="17"/>
        <v>220120</v>
      </c>
    </row>
    <row r="32" spans="1:19" s="19" customFormat="1" ht="14.25" customHeight="1">
      <c r="A32" s="242" t="s">
        <v>185</v>
      </c>
      <c r="B32" s="259" t="s">
        <v>186</v>
      </c>
      <c r="C32" s="286" t="s">
        <v>184</v>
      </c>
      <c r="D32" s="286">
        <v>2010</v>
      </c>
      <c r="E32" s="286">
        <v>2012</v>
      </c>
      <c r="F32" s="608" t="s">
        <v>174</v>
      </c>
      <c r="G32" s="608"/>
      <c r="H32" s="608"/>
      <c r="I32" s="287">
        <f>I34+I33</f>
        <v>1500000</v>
      </c>
      <c r="J32" s="271">
        <f>SUM(J33:J34)</f>
        <v>875000</v>
      </c>
      <c r="K32" s="271">
        <f t="shared" ref="K32:L32" si="19">SUM(K33:K34)</f>
        <v>0</v>
      </c>
      <c r="L32" s="271">
        <f t="shared" si="19"/>
        <v>875000</v>
      </c>
      <c r="M32" s="287">
        <f>SUM(M33:M34)</f>
        <v>620120</v>
      </c>
      <c r="N32" s="287">
        <f>SUM(N33:N34)</f>
        <v>0</v>
      </c>
      <c r="O32" s="288">
        <v>0</v>
      </c>
      <c r="P32" s="288">
        <v>0</v>
      </c>
      <c r="Q32" s="288">
        <v>0</v>
      </c>
      <c r="R32" s="289">
        <f t="shared" si="17"/>
        <v>1495120</v>
      </c>
      <c r="S32" s="30">
        <f>R33+R34</f>
        <v>1495120</v>
      </c>
    </row>
    <row r="33" spans="1:19" s="19" customFormat="1" ht="12.75" customHeight="1">
      <c r="A33" s="242"/>
      <c r="B33" s="259"/>
      <c r="C33" s="267"/>
      <c r="D33" s="267"/>
      <c r="E33" s="267"/>
      <c r="F33" s="246">
        <v>921</v>
      </c>
      <c r="G33" s="246">
        <v>92109</v>
      </c>
      <c r="H33" s="246">
        <v>6058</v>
      </c>
      <c r="I33" s="247">
        <f>SUM(L33:N33)</f>
        <v>1275000</v>
      </c>
      <c r="J33" s="248">
        <v>800000</v>
      </c>
      <c r="K33" s="248"/>
      <c r="L33" s="272">
        <f t="shared" si="15"/>
        <v>800000</v>
      </c>
      <c r="M33" s="247">
        <v>475000</v>
      </c>
      <c r="N33" s="250"/>
      <c r="O33" s="250"/>
      <c r="P33" s="250"/>
      <c r="Q33" s="250"/>
      <c r="R33" s="251">
        <f t="shared" si="17"/>
        <v>1275000</v>
      </c>
    </row>
    <row r="34" spans="1:19" s="19" customFormat="1" ht="12.75" customHeight="1">
      <c r="A34" s="242"/>
      <c r="B34" s="259"/>
      <c r="C34" s="267"/>
      <c r="D34" s="267"/>
      <c r="E34" s="267"/>
      <c r="F34" s="260"/>
      <c r="G34" s="260"/>
      <c r="H34" s="260">
        <v>6059</v>
      </c>
      <c r="I34" s="261">
        <v>225000</v>
      </c>
      <c r="J34" s="262">
        <v>75000</v>
      </c>
      <c r="K34" s="262"/>
      <c r="L34" s="277">
        <f t="shared" si="15"/>
        <v>75000</v>
      </c>
      <c r="M34" s="261">
        <v>145120</v>
      </c>
      <c r="N34" s="264"/>
      <c r="O34" s="264"/>
      <c r="P34" s="264"/>
      <c r="Q34" s="264"/>
      <c r="R34" s="265">
        <f t="shared" si="17"/>
        <v>220120</v>
      </c>
    </row>
    <row r="35" spans="1:19" s="19" customFormat="1" ht="15" customHeight="1">
      <c r="A35" s="242" t="s">
        <v>187</v>
      </c>
      <c r="B35" s="604" t="s">
        <v>188</v>
      </c>
      <c r="C35" s="286" t="s">
        <v>184</v>
      </c>
      <c r="D35" s="286">
        <v>2009</v>
      </c>
      <c r="E35" s="286">
        <v>2012</v>
      </c>
      <c r="F35" s="608" t="s">
        <v>174</v>
      </c>
      <c r="G35" s="608"/>
      <c r="H35" s="608"/>
      <c r="I35" s="287">
        <f>SUM(I36:I38)</f>
        <v>1568000</v>
      </c>
      <c r="J35" s="271">
        <f>SUM(J37:J38)</f>
        <v>890122</v>
      </c>
      <c r="K35" s="271">
        <f>SUM(K37:K38)</f>
        <v>0</v>
      </c>
      <c r="L35" s="223">
        <f t="shared" si="15"/>
        <v>890122</v>
      </c>
      <c r="M35" s="287">
        <f>SUM(M37:M38)</f>
        <v>609558</v>
      </c>
      <c r="N35" s="287">
        <f>SUM(N37:N38)</f>
        <v>0</v>
      </c>
      <c r="O35" s="288">
        <v>0</v>
      </c>
      <c r="P35" s="288">
        <v>0</v>
      </c>
      <c r="Q35" s="288">
        <v>0</v>
      </c>
      <c r="R35" s="289">
        <f t="shared" si="17"/>
        <v>1499680</v>
      </c>
      <c r="S35" s="30">
        <f>R37+R38</f>
        <v>1499680</v>
      </c>
    </row>
    <row r="36" spans="1:19" s="19" customFormat="1" ht="15" customHeight="1">
      <c r="A36" s="242"/>
      <c r="B36" s="604"/>
      <c r="C36" s="267"/>
      <c r="D36" s="267"/>
      <c r="E36" s="267"/>
      <c r="F36" s="246">
        <v>921</v>
      </c>
      <c r="G36" s="246">
        <v>92109</v>
      </c>
      <c r="H36" s="290">
        <v>6050</v>
      </c>
      <c r="I36" s="291">
        <v>68320</v>
      </c>
      <c r="J36" s="292"/>
      <c r="K36" s="292"/>
      <c r="L36" s="223">
        <f t="shared" si="15"/>
        <v>0</v>
      </c>
      <c r="M36" s="291"/>
      <c r="N36" s="291"/>
      <c r="O36" s="293"/>
      <c r="P36" s="293"/>
      <c r="Q36" s="293"/>
      <c r="R36" s="225"/>
    </row>
    <row r="37" spans="1:19" s="19" customFormat="1">
      <c r="A37" s="242"/>
      <c r="B37" s="604"/>
      <c r="C37" s="267"/>
      <c r="D37" s="267"/>
      <c r="E37" s="267"/>
      <c r="F37" s="246"/>
      <c r="G37" s="246"/>
      <c r="H37" s="246">
        <v>6058</v>
      </c>
      <c r="I37" s="247">
        <f>SUM(L37:N37)</f>
        <v>1375000</v>
      </c>
      <c r="J37" s="248">
        <v>825442</v>
      </c>
      <c r="K37" s="248"/>
      <c r="L37" s="272">
        <f t="shared" si="15"/>
        <v>825442</v>
      </c>
      <c r="M37" s="247">
        <v>549558</v>
      </c>
      <c r="N37" s="250"/>
      <c r="O37" s="250"/>
      <c r="P37" s="250"/>
      <c r="Q37" s="250"/>
      <c r="R37" s="251">
        <f t="shared" ref="R37:R44" si="20">SUM(L37:P37)</f>
        <v>1375000</v>
      </c>
    </row>
    <row r="38" spans="1:19" s="19" customFormat="1" ht="12" customHeight="1">
      <c r="A38" s="242"/>
      <c r="B38" s="259"/>
      <c r="C38" s="267"/>
      <c r="D38" s="267"/>
      <c r="E38" s="267"/>
      <c r="F38" s="260"/>
      <c r="G38" s="260"/>
      <c r="H38" s="260">
        <v>6059</v>
      </c>
      <c r="I38" s="261">
        <f>SUM(L38:N38)</f>
        <v>124680</v>
      </c>
      <c r="J38" s="262">
        <v>64680</v>
      </c>
      <c r="K38" s="262"/>
      <c r="L38" s="277">
        <f t="shared" si="15"/>
        <v>64680</v>
      </c>
      <c r="M38" s="261">
        <v>60000</v>
      </c>
      <c r="N38" s="264"/>
      <c r="O38" s="264"/>
      <c r="P38" s="264"/>
      <c r="Q38" s="264"/>
      <c r="R38" s="265">
        <f t="shared" si="20"/>
        <v>124680</v>
      </c>
    </row>
    <row r="39" spans="1:19" s="19" customFormat="1" ht="13.35" customHeight="1">
      <c r="A39" s="242" t="s">
        <v>189</v>
      </c>
      <c r="B39" s="259" t="s">
        <v>190</v>
      </c>
      <c r="C39" s="286" t="s">
        <v>184</v>
      </c>
      <c r="D39" s="286">
        <v>2010</v>
      </c>
      <c r="E39" s="286">
        <v>2012</v>
      </c>
      <c r="F39" s="608" t="s">
        <v>174</v>
      </c>
      <c r="G39" s="608"/>
      <c r="H39" s="608"/>
      <c r="I39" s="287">
        <f>I40+I41</f>
        <v>1559780</v>
      </c>
      <c r="J39" s="271">
        <f>SUM(J40:J41)</f>
        <v>875000</v>
      </c>
      <c r="K39" s="271">
        <f>SUM(K40:K41)</f>
        <v>0</v>
      </c>
      <c r="L39" s="223">
        <f t="shared" si="15"/>
        <v>875000</v>
      </c>
      <c r="M39" s="287">
        <f>SUM(M40:M41)</f>
        <v>620120</v>
      </c>
      <c r="N39" s="287">
        <f>SUM(N40:N41)</f>
        <v>0</v>
      </c>
      <c r="O39" s="288">
        <v>0</v>
      </c>
      <c r="P39" s="288">
        <v>0</v>
      </c>
      <c r="Q39" s="288">
        <v>0</v>
      </c>
      <c r="R39" s="289">
        <f t="shared" si="20"/>
        <v>1495120</v>
      </c>
      <c r="S39" s="30">
        <f>R40+R41</f>
        <v>1495120</v>
      </c>
    </row>
    <row r="40" spans="1:19" s="19" customFormat="1">
      <c r="A40" s="242"/>
      <c r="B40" s="259"/>
      <c r="C40" s="267"/>
      <c r="D40" s="267"/>
      <c r="E40" s="267"/>
      <c r="F40" s="246">
        <v>921</v>
      </c>
      <c r="G40" s="246">
        <v>92109</v>
      </c>
      <c r="H40" s="246">
        <v>6058</v>
      </c>
      <c r="I40" s="247">
        <v>1334780</v>
      </c>
      <c r="J40" s="248">
        <v>800000</v>
      </c>
      <c r="K40" s="248"/>
      <c r="L40" s="272">
        <f t="shared" si="15"/>
        <v>800000</v>
      </c>
      <c r="M40" s="247">
        <v>475000</v>
      </c>
      <c r="N40" s="250"/>
      <c r="O40" s="250"/>
      <c r="P40" s="250"/>
      <c r="Q40" s="250"/>
      <c r="R40" s="251">
        <f t="shared" si="20"/>
        <v>1275000</v>
      </c>
    </row>
    <row r="41" spans="1:19" s="19" customFormat="1">
      <c r="A41" s="242"/>
      <c r="B41" s="259"/>
      <c r="C41" s="267"/>
      <c r="D41" s="267"/>
      <c r="E41" s="267"/>
      <c r="F41" s="260"/>
      <c r="G41" s="260"/>
      <c r="H41" s="260">
        <v>6059</v>
      </c>
      <c r="I41" s="261">
        <v>225000</v>
      </c>
      <c r="J41" s="262">
        <v>75000</v>
      </c>
      <c r="K41" s="262"/>
      <c r="L41" s="277">
        <f t="shared" si="15"/>
        <v>75000</v>
      </c>
      <c r="M41" s="261">
        <v>145120</v>
      </c>
      <c r="N41" s="264"/>
      <c r="O41" s="264"/>
      <c r="P41" s="264"/>
      <c r="Q41" s="264"/>
      <c r="R41" s="265">
        <f t="shared" si="20"/>
        <v>220120</v>
      </c>
    </row>
    <row r="42" spans="1:19" s="40" customFormat="1" ht="15.75" customHeight="1">
      <c r="A42" s="294" t="s">
        <v>191</v>
      </c>
      <c r="B42" s="501" t="s">
        <v>192</v>
      </c>
      <c r="C42" s="296" t="s">
        <v>169</v>
      </c>
      <c r="D42" s="296">
        <v>2006</v>
      </c>
      <c r="E42" s="296">
        <v>2014</v>
      </c>
      <c r="F42" s="296"/>
      <c r="G42" s="296"/>
      <c r="H42" s="296"/>
      <c r="I42" s="238">
        <f>I43</f>
        <v>92861455</v>
      </c>
      <c r="J42" s="282">
        <f>J43</f>
        <v>21770233</v>
      </c>
      <c r="K42" s="389">
        <f>K43</f>
        <v>-16000000</v>
      </c>
      <c r="L42" s="223">
        <f t="shared" si="15"/>
        <v>5770233</v>
      </c>
      <c r="M42" s="116">
        <f>M43</f>
        <v>26760000</v>
      </c>
      <c r="N42" s="116">
        <f>N43</f>
        <v>17560000</v>
      </c>
      <c r="O42" s="297">
        <f>O43</f>
        <v>11400000</v>
      </c>
      <c r="P42" s="297">
        <f>P43</f>
        <v>29000000</v>
      </c>
      <c r="Q42" s="298"/>
      <c r="R42" s="241">
        <f t="shared" si="20"/>
        <v>90490233</v>
      </c>
    </row>
    <row r="43" spans="1:19" s="19" customFormat="1" ht="30" customHeight="1" thickBot="1">
      <c r="A43" s="299" t="s">
        <v>193</v>
      </c>
      <c r="B43" s="502" t="s">
        <v>257</v>
      </c>
      <c r="C43" s="300" t="s">
        <v>173</v>
      </c>
      <c r="D43" s="301">
        <v>2006</v>
      </c>
      <c r="E43" s="301">
        <v>2014</v>
      </c>
      <c r="F43" s="609" t="s">
        <v>174</v>
      </c>
      <c r="G43" s="609"/>
      <c r="H43" s="609"/>
      <c r="I43" s="302">
        <f>SUM(I44:I50)</f>
        <v>92861455</v>
      </c>
      <c r="J43" s="303">
        <f t="shared" ref="J43:Q43" si="21">SUM(J44:J50)</f>
        <v>21770233</v>
      </c>
      <c r="K43" s="303">
        <f t="shared" si="21"/>
        <v>-16000000</v>
      </c>
      <c r="L43" s="303">
        <f t="shared" si="15"/>
        <v>5770233</v>
      </c>
      <c r="M43" s="302">
        <f t="shared" si="21"/>
        <v>26760000</v>
      </c>
      <c r="N43" s="302">
        <f t="shared" si="21"/>
        <v>17560000</v>
      </c>
      <c r="O43" s="302">
        <f t="shared" ref="O43" si="22">SUM(O44:O50)</f>
        <v>11400000</v>
      </c>
      <c r="P43" s="302">
        <f t="shared" si="21"/>
        <v>29000000</v>
      </c>
      <c r="Q43" s="302">
        <f t="shared" si="21"/>
        <v>0</v>
      </c>
      <c r="R43" s="304">
        <f t="shared" si="20"/>
        <v>90490233</v>
      </c>
    </row>
    <row r="44" spans="1:19" s="19" customFormat="1" ht="14.25">
      <c r="A44" s="305"/>
      <c r="B44" s="503" t="s">
        <v>194</v>
      </c>
      <c r="C44" s="306"/>
      <c r="D44" s="306"/>
      <c r="E44" s="306"/>
      <c r="F44" s="306">
        <v>801</v>
      </c>
      <c r="G44" s="306">
        <v>80101</v>
      </c>
      <c r="H44" s="306">
        <v>6050</v>
      </c>
      <c r="I44" s="307">
        <v>3041455</v>
      </c>
      <c r="J44" s="308">
        <v>670233</v>
      </c>
      <c r="K44" s="308"/>
      <c r="L44" s="309">
        <f t="shared" si="15"/>
        <v>670233</v>
      </c>
      <c r="M44" s="307"/>
      <c r="N44" s="310"/>
      <c r="O44" s="311"/>
      <c r="P44" s="311"/>
      <c r="Q44" s="311"/>
      <c r="R44" s="312">
        <f t="shared" si="20"/>
        <v>670233</v>
      </c>
    </row>
    <row r="45" spans="1:19" s="19" customFormat="1" ht="14.25">
      <c r="A45" s="313"/>
      <c r="B45" s="504"/>
      <c r="C45" s="253"/>
      <c r="D45" s="253"/>
      <c r="E45" s="253"/>
      <c r="F45" s="253"/>
      <c r="G45" s="253"/>
      <c r="H45" s="253">
        <v>6058</v>
      </c>
      <c r="I45" s="254">
        <f>SUM(L45:N45)</f>
        <v>10000000</v>
      </c>
      <c r="J45" s="255">
        <v>10000000</v>
      </c>
      <c r="K45" s="255">
        <v>-10000000</v>
      </c>
      <c r="L45" s="273">
        <f t="shared" si="15"/>
        <v>0</v>
      </c>
      <c r="M45" s="254">
        <v>10000000</v>
      </c>
      <c r="N45" s="256"/>
      <c r="O45" s="257"/>
      <c r="P45" s="257"/>
      <c r="Q45" s="257"/>
      <c r="R45" s="258">
        <f t="shared" ref="R45:R54" si="23">SUM(L45:P45)</f>
        <v>10000000</v>
      </c>
    </row>
    <row r="46" spans="1:19" s="19" customFormat="1" ht="13.5" thickBot="1">
      <c r="A46" s="314"/>
      <c r="B46" s="315"/>
      <c r="C46" s="316"/>
      <c r="D46" s="316"/>
      <c r="E46" s="316"/>
      <c r="F46" s="316"/>
      <c r="G46" s="316"/>
      <c r="H46" s="316">
        <v>6059</v>
      </c>
      <c r="I46" s="317">
        <f>SUM(L46:N46)</f>
        <v>39420000</v>
      </c>
      <c r="J46" s="318">
        <v>10900000</v>
      </c>
      <c r="K46" s="318">
        <v>-5800000</v>
      </c>
      <c r="L46" s="319">
        <f t="shared" si="15"/>
        <v>5100000</v>
      </c>
      <c r="M46" s="317">
        <v>16760000</v>
      </c>
      <c r="N46" s="320">
        <v>17560000</v>
      </c>
      <c r="O46" s="321"/>
      <c r="P46" s="321"/>
      <c r="Q46" s="321"/>
      <c r="R46" s="322">
        <f>SUM(L46:P46)</f>
        <v>39420000</v>
      </c>
    </row>
    <row r="47" spans="1:19" s="19" customFormat="1" ht="12.75" customHeight="1">
      <c r="A47" s="305"/>
      <c r="B47" s="606" t="s">
        <v>195</v>
      </c>
      <c r="C47" s="323"/>
      <c r="D47" s="323"/>
      <c r="E47" s="323"/>
      <c r="F47" s="323"/>
      <c r="G47" s="323"/>
      <c r="H47" s="323">
        <v>6058</v>
      </c>
      <c r="I47" s="324">
        <f>SUM(J47:P47)</f>
        <v>4000000</v>
      </c>
      <c r="J47" s="325"/>
      <c r="K47" s="325"/>
      <c r="L47" s="309">
        <f t="shared" si="15"/>
        <v>0</v>
      </c>
      <c r="M47" s="324"/>
      <c r="N47" s="324"/>
      <c r="O47" s="323"/>
      <c r="P47" s="324">
        <v>4000000</v>
      </c>
      <c r="Q47" s="326"/>
      <c r="R47" s="327">
        <f t="shared" si="23"/>
        <v>4000000</v>
      </c>
    </row>
    <row r="48" spans="1:19" s="19" customFormat="1" ht="12.75" customHeight="1" thickBot="1">
      <c r="A48" s="313"/>
      <c r="B48" s="606"/>
      <c r="C48" s="328"/>
      <c r="D48" s="328"/>
      <c r="E48" s="328"/>
      <c r="F48" s="328"/>
      <c r="G48" s="328"/>
      <c r="H48" s="328">
        <v>6059</v>
      </c>
      <c r="I48" s="329">
        <f>SUM(L48:P48)</f>
        <v>16400000</v>
      </c>
      <c r="J48" s="330">
        <v>200000</v>
      </c>
      <c r="K48" s="330">
        <v>-200000</v>
      </c>
      <c r="L48" s="319">
        <f t="shared" si="15"/>
        <v>0</v>
      </c>
      <c r="M48" s="329"/>
      <c r="N48" s="329"/>
      <c r="O48" s="329">
        <v>6400000</v>
      </c>
      <c r="P48" s="329">
        <v>10000000</v>
      </c>
      <c r="Q48" s="331"/>
      <c r="R48" s="332">
        <f>SUM(L48:P48)</f>
        <v>16400000</v>
      </c>
    </row>
    <row r="49" spans="1:26" s="19" customFormat="1" ht="12" customHeight="1" thickBot="1">
      <c r="A49" s="305"/>
      <c r="B49" s="607" t="s">
        <v>196</v>
      </c>
      <c r="C49" s="306"/>
      <c r="D49" s="306"/>
      <c r="E49" s="306"/>
      <c r="F49" s="306"/>
      <c r="G49" s="306"/>
      <c r="H49" s="306">
        <v>6058</v>
      </c>
      <c r="I49" s="307">
        <f>SUM(J49:P49)</f>
        <v>5000000</v>
      </c>
      <c r="J49" s="308"/>
      <c r="K49" s="308"/>
      <c r="L49" s="309">
        <f t="shared" si="15"/>
        <v>0</v>
      </c>
      <c r="M49" s="307"/>
      <c r="N49" s="307"/>
      <c r="O49" s="307"/>
      <c r="P49" s="307">
        <v>5000000</v>
      </c>
      <c r="Q49" s="311"/>
      <c r="R49" s="312">
        <f t="shared" si="23"/>
        <v>5000000</v>
      </c>
    </row>
    <row r="50" spans="1:26" s="19" customFormat="1" ht="11.25" customHeight="1" thickBot="1">
      <c r="A50" s="314"/>
      <c r="B50" s="607"/>
      <c r="C50" s="316"/>
      <c r="D50" s="316"/>
      <c r="E50" s="316"/>
      <c r="F50" s="316"/>
      <c r="G50" s="316"/>
      <c r="H50" s="316">
        <v>6059</v>
      </c>
      <c r="I50" s="317">
        <f>SUM(J50:P50)</f>
        <v>15000000</v>
      </c>
      <c r="J50" s="318"/>
      <c r="K50" s="318"/>
      <c r="L50" s="319">
        <f t="shared" si="15"/>
        <v>0</v>
      </c>
      <c r="M50" s="317"/>
      <c r="N50" s="317"/>
      <c r="O50" s="317">
        <v>5000000</v>
      </c>
      <c r="P50" s="317">
        <v>10000000</v>
      </c>
      <c r="Q50" s="321"/>
      <c r="R50" s="322">
        <f t="shared" si="23"/>
        <v>15000000</v>
      </c>
    </row>
    <row r="51" spans="1:26" s="44" customFormat="1" ht="33.75" customHeight="1">
      <c r="A51" s="212" t="s">
        <v>119</v>
      </c>
      <c r="B51" s="213" t="s">
        <v>197</v>
      </c>
      <c r="C51" s="218"/>
      <c r="D51" s="218" t="s">
        <v>84</v>
      </c>
      <c r="E51" s="218" t="s">
        <v>84</v>
      </c>
      <c r="F51" s="218"/>
      <c r="G51" s="218"/>
      <c r="H51" s="218"/>
      <c r="I51" s="215">
        <f>I52</f>
        <v>13681532</v>
      </c>
      <c r="J51" s="216">
        <f>J52</f>
        <v>1483200</v>
      </c>
      <c r="K51" s="216">
        <f>K52</f>
        <v>0</v>
      </c>
      <c r="L51" s="216">
        <f>J51+K51</f>
        <v>1483200</v>
      </c>
      <c r="M51" s="215">
        <f>M52</f>
        <v>8852000</v>
      </c>
      <c r="N51" s="215">
        <f>N52</f>
        <v>3000000</v>
      </c>
      <c r="O51" s="333">
        <v>0</v>
      </c>
      <c r="P51" s="333">
        <v>0</v>
      </c>
      <c r="Q51" s="333">
        <v>0</v>
      </c>
      <c r="R51" s="334">
        <f>SUM(L51:P51)</f>
        <v>13335200</v>
      </c>
      <c r="S51" s="19"/>
      <c r="T51" s="19"/>
      <c r="U51" s="19"/>
      <c r="V51" s="19"/>
      <c r="W51" s="19"/>
      <c r="X51" s="19"/>
      <c r="Y51" s="19"/>
      <c r="Z51" s="19"/>
    </row>
    <row r="52" spans="1:26" s="47" customFormat="1" ht="15.75">
      <c r="A52" s="335"/>
      <c r="B52" s="336" t="s">
        <v>162</v>
      </c>
      <c r="C52" s="337"/>
      <c r="D52" s="337" t="s">
        <v>84</v>
      </c>
      <c r="E52" s="337" t="s">
        <v>84</v>
      </c>
      <c r="F52" s="337"/>
      <c r="G52" s="337"/>
      <c r="H52" s="337"/>
      <c r="I52" s="245">
        <f>I58+I60+I53</f>
        <v>13681532</v>
      </c>
      <c r="J52" s="223">
        <f t="shared" ref="J52:Q52" si="24">J58+J60+J53</f>
        <v>1483200</v>
      </c>
      <c r="K52" s="223"/>
      <c r="L52" s="223">
        <f>J52+K52</f>
        <v>1483200</v>
      </c>
      <c r="M52" s="245">
        <f>M58+M60+M53</f>
        <v>8852000</v>
      </c>
      <c r="N52" s="245">
        <f>N58+N60+N53</f>
        <v>3000000</v>
      </c>
      <c r="O52" s="245">
        <f t="shared" ref="O52" si="25">O58+O60+O53</f>
        <v>0</v>
      </c>
      <c r="P52" s="245">
        <f t="shared" si="24"/>
        <v>0</v>
      </c>
      <c r="Q52" s="245">
        <f t="shared" si="24"/>
        <v>0</v>
      </c>
      <c r="R52" s="225">
        <f>SUM(L52:P52)</f>
        <v>13335200</v>
      </c>
      <c r="S52" s="511">
        <f>R53+R58+R60</f>
        <v>13335200</v>
      </c>
    </row>
    <row r="53" spans="1:26" s="47" customFormat="1" ht="31.5">
      <c r="A53" s="338" t="s">
        <v>198</v>
      </c>
      <c r="B53" s="295" t="s">
        <v>199</v>
      </c>
      <c r="C53" s="339" t="s">
        <v>169</v>
      </c>
      <c r="D53" s="296">
        <v>2009</v>
      </c>
      <c r="E53" s="296">
        <v>2012</v>
      </c>
      <c r="F53" s="115"/>
      <c r="G53" s="116"/>
      <c r="H53" s="116"/>
      <c r="I53" s="115">
        <f>SUM(I54:I57)</f>
        <v>9041532</v>
      </c>
      <c r="J53" s="282">
        <f>SUM(J54:J57)</f>
        <v>1195200</v>
      </c>
      <c r="K53" s="282"/>
      <c r="L53" s="282">
        <f>J53+K53</f>
        <v>1195200</v>
      </c>
      <c r="M53" s="115">
        <f>SUM(M54:M57)</f>
        <v>7500000</v>
      </c>
      <c r="N53" s="115">
        <f>SUM(N54:N57)</f>
        <v>0</v>
      </c>
      <c r="O53" s="116"/>
      <c r="P53" s="116"/>
      <c r="Q53" s="116"/>
      <c r="R53" s="114">
        <f>SUM(L53:P53)</f>
        <v>8695200</v>
      </c>
      <c r="S53" s="511">
        <f>SUM(R54:R57)</f>
        <v>8695200</v>
      </c>
    </row>
    <row r="54" spans="1:26" s="47" customFormat="1" ht="38.25">
      <c r="A54" s="242" t="s">
        <v>200</v>
      </c>
      <c r="B54" s="340" t="s">
        <v>201</v>
      </c>
      <c r="C54" s="267" t="s">
        <v>184</v>
      </c>
      <c r="D54" s="267">
        <v>2009</v>
      </c>
      <c r="E54" s="267">
        <v>2012</v>
      </c>
      <c r="F54" s="62">
        <v>600</v>
      </c>
      <c r="G54" s="62" t="s">
        <v>202</v>
      </c>
      <c r="H54" s="62">
        <v>6050</v>
      </c>
      <c r="I54" s="62">
        <v>3041532</v>
      </c>
      <c r="J54" s="271">
        <v>395200</v>
      </c>
      <c r="K54" s="271"/>
      <c r="L54" s="271">
        <f>J54+K54</f>
        <v>395200</v>
      </c>
      <c r="M54" s="62">
        <v>2300000</v>
      </c>
      <c r="N54" s="245"/>
      <c r="O54" s="245"/>
      <c r="P54" s="245"/>
      <c r="Q54" s="245"/>
      <c r="R54" s="225">
        <f t="shared" si="23"/>
        <v>2695200</v>
      </c>
    </row>
    <row r="55" spans="1:26" s="47" customFormat="1" ht="24" customHeight="1">
      <c r="A55" s="341" t="s">
        <v>203</v>
      </c>
      <c r="B55" s="57" t="s">
        <v>204</v>
      </c>
      <c r="C55" s="267" t="s">
        <v>184</v>
      </c>
      <c r="D55" s="267">
        <v>2011</v>
      </c>
      <c r="E55" s="267">
        <v>2012</v>
      </c>
      <c r="F55" s="62">
        <v>600</v>
      </c>
      <c r="G55" s="62" t="s">
        <v>202</v>
      </c>
      <c r="H55" s="62">
        <v>6050</v>
      </c>
      <c r="I55" s="62">
        <f>J55+M55</f>
        <v>2000000</v>
      </c>
      <c r="J55" s="271">
        <v>200000</v>
      </c>
      <c r="K55" s="271"/>
      <c r="L55" s="271">
        <f t="shared" ref="L55:L60" si="26">J55+K55</f>
        <v>200000</v>
      </c>
      <c r="M55" s="62">
        <v>1800000</v>
      </c>
      <c r="N55" s="245"/>
      <c r="O55" s="245"/>
      <c r="P55" s="245"/>
      <c r="Q55" s="245"/>
      <c r="R55" s="225">
        <f t="shared" ref="R55:R72" si="27">SUM(L55:P55)</f>
        <v>2000000</v>
      </c>
    </row>
    <row r="56" spans="1:26" s="47" customFormat="1" ht="24" customHeight="1">
      <c r="A56" s="242" t="s">
        <v>205</v>
      </c>
      <c r="B56" s="57" t="s">
        <v>206</v>
      </c>
      <c r="C56" s="267" t="s">
        <v>184</v>
      </c>
      <c r="D56" s="267">
        <v>2011</v>
      </c>
      <c r="E56" s="267">
        <v>2012</v>
      </c>
      <c r="F56" s="62">
        <v>600</v>
      </c>
      <c r="G56" s="62" t="s">
        <v>202</v>
      </c>
      <c r="H56" s="62">
        <v>6050</v>
      </c>
      <c r="I56" s="62">
        <f>J56+M56</f>
        <v>2000000</v>
      </c>
      <c r="J56" s="271">
        <v>400000</v>
      </c>
      <c r="K56" s="271"/>
      <c r="L56" s="271">
        <f t="shared" si="26"/>
        <v>400000</v>
      </c>
      <c r="M56" s="62">
        <v>1600000</v>
      </c>
      <c r="N56" s="62"/>
      <c r="O56" s="62"/>
      <c r="P56" s="62"/>
      <c r="Q56" s="62"/>
      <c r="R56" s="225">
        <f t="shared" si="27"/>
        <v>2000000</v>
      </c>
    </row>
    <row r="57" spans="1:26" s="47" customFormat="1">
      <c r="A57" s="341" t="s">
        <v>207</v>
      </c>
      <c r="B57" s="340" t="s">
        <v>208</v>
      </c>
      <c r="C57" s="267" t="s">
        <v>184</v>
      </c>
      <c r="D57" s="267">
        <v>2011</v>
      </c>
      <c r="E57" s="267">
        <v>2012</v>
      </c>
      <c r="F57" s="62">
        <v>600</v>
      </c>
      <c r="G57" s="62" t="s">
        <v>202</v>
      </c>
      <c r="H57" s="62">
        <v>6050</v>
      </c>
      <c r="I57" s="62">
        <f>J57+M57</f>
        <v>2000000</v>
      </c>
      <c r="J57" s="271">
        <v>200000</v>
      </c>
      <c r="K57" s="271"/>
      <c r="L57" s="271">
        <f t="shared" si="26"/>
        <v>200000</v>
      </c>
      <c r="M57" s="62">
        <v>1800000</v>
      </c>
      <c r="N57" s="62"/>
      <c r="O57" s="62"/>
      <c r="P57" s="62"/>
      <c r="Q57" s="62"/>
      <c r="R57" s="225">
        <f t="shared" si="27"/>
        <v>2000000</v>
      </c>
    </row>
    <row r="58" spans="1:26" s="48" customFormat="1" ht="31.5">
      <c r="A58" s="342" t="s">
        <v>209</v>
      </c>
      <c r="B58" s="343" t="s">
        <v>180</v>
      </c>
      <c r="C58" s="296" t="s">
        <v>169</v>
      </c>
      <c r="D58" s="296">
        <v>2011</v>
      </c>
      <c r="E58" s="296">
        <v>2013</v>
      </c>
      <c r="F58" s="296"/>
      <c r="G58" s="296"/>
      <c r="H58" s="296"/>
      <c r="I58" s="115">
        <f>I59</f>
        <v>2543000</v>
      </c>
      <c r="J58" s="282">
        <f>SUM(J59:J59)</f>
        <v>98000</v>
      </c>
      <c r="K58" s="282"/>
      <c r="L58" s="271">
        <f t="shared" si="26"/>
        <v>98000</v>
      </c>
      <c r="M58" s="116">
        <f>SUM(M59:M59)</f>
        <v>445000</v>
      </c>
      <c r="N58" s="116">
        <f>SUM(N59:N59)</f>
        <v>2000000</v>
      </c>
      <c r="O58" s="116">
        <f>SUM(O59:O59)</f>
        <v>0</v>
      </c>
      <c r="P58" s="116">
        <f>SUM(P59:P59)</f>
        <v>0</v>
      </c>
      <c r="Q58" s="116">
        <f>SUM(Q59:Q59)</f>
        <v>0</v>
      </c>
      <c r="R58" s="241">
        <f>SUM(L58:P58)</f>
        <v>2543000</v>
      </c>
    </row>
    <row r="59" spans="1:26" s="19" customFormat="1" ht="46.5" customHeight="1">
      <c r="A59" s="242" t="s">
        <v>210</v>
      </c>
      <c r="B59" s="344" t="s">
        <v>211</v>
      </c>
      <c r="C59" s="267" t="s">
        <v>184</v>
      </c>
      <c r="D59" s="267">
        <v>2011</v>
      </c>
      <c r="E59" s="267">
        <v>2013</v>
      </c>
      <c r="F59" s="267">
        <v>700</v>
      </c>
      <c r="G59" s="267">
        <v>70005</v>
      </c>
      <c r="H59" s="267">
        <v>6050</v>
      </c>
      <c r="I59" s="62">
        <v>2543000</v>
      </c>
      <c r="J59" s="271">
        <v>98000</v>
      </c>
      <c r="K59" s="271"/>
      <c r="L59" s="271">
        <f t="shared" si="26"/>
        <v>98000</v>
      </c>
      <c r="M59" s="62">
        <v>445000</v>
      </c>
      <c r="N59" s="245">
        <v>2000000</v>
      </c>
      <c r="O59" s="388">
        <v>0</v>
      </c>
      <c r="P59" s="244">
        <v>0</v>
      </c>
      <c r="Q59" s="244">
        <v>0</v>
      </c>
      <c r="R59" s="225">
        <f>SUM(L59:P59)</f>
        <v>2543000</v>
      </c>
    </row>
    <row r="60" spans="1:26" s="48" customFormat="1" ht="31.5">
      <c r="A60" s="338" t="s">
        <v>212</v>
      </c>
      <c r="B60" s="345" t="s">
        <v>192</v>
      </c>
      <c r="C60" s="296" t="s">
        <v>169</v>
      </c>
      <c r="D60" s="296">
        <v>2010</v>
      </c>
      <c r="E60" s="296">
        <v>2013</v>
      </c>
      <c r="F60" s="296"/>
      <c r="G60" s="296"/>
      <c r="H60" s="296"/>
      <c r="I60" s="115">
        <f>I61</f>
        <v>2097000</v>
      </c>
      <c r="J60" s="282">
        <f t="shared" ref="J60:Q60" si="28">J61</f>
        <v>190000</v>
      </c>
      <c r="K60" s="282"/>
      <c r="L60" s="271">
        <f t="shared" si="26"/>
        <v>190000</v>
      </c>
      <c r="M60" s="115">
        <f t="shared" si="28"/>
        <v>907000</v>
      </c>
      <c r="N60" s="115">
        <f t="shared" si="28"/>
        <v>1000000</v>
      </c>
      <c r="O60" s="115">
        <f t="shared" si="28"/>
        <v>0</v>
      </c>
      <c r="P60" s="115">
        <f t="shared" si="28"/>
        <v>0</v>
      </c>
      <c r="Q60" s="115">
        <f t="shared" si="28"/>
        <v>0</v>
      </c>
      <c r="R60" s="241">
        <f>SUM(L60:P60)</f>
        <v>2097000</v>
      </c>
    </row>
    <row r="61" spans="1:26" s="19" customFormat="1" ht="25.5">
      <c r="A61" s="242" t="s">
        <v>213</v>
      </c>
      <c r="B61" s="344" t="s">
        <v>214</v>
      </c>
      <c r="C61" s="243" t="s">
        <v>173</v>
      </c>
      <c r="D61" s="267">
        <v>2010</v>
      </c>
      <c r="E61" s="267">
        <v>2013</v>
      </c>
      <c r="F61" s="267">
        <v>801</v>
      </c>
      <c r="G61" s="267">
        <v>80104</v>
      </c>
      <c r="H61" s="267">
        <v>6050</v>
      </c>
      <c r="I61" s="62">
        <v>2097000</v>
      </c>
      <c r="J61" s="271">
        <v>190000</v>
      </c>
      <c r="K61" s="271"/>
      <c r="L61" s="271">
        <f>J61+K61</f>
        <v>190000</v>
      </c>
      <c r="M61" s="62">
        <v>907000</v>
      </c>
      <c r="N61" s="245">
        <v>1000000</v>
      </c>
      <c r="O61" s="388">
        <v>0</v>
      </c>
      <c r="P61" s="244">
        <v>0</v>
      </c>
      <c r="Q61" s="244">
        <v>0</v>
      </c>
      <c r="R61" s="225">
        <f t="shared" si="27"/>
        <v>2097000</v>
      </c>
    </row>
    <row r="62" spans="1:26" ht="77.25" customHeight="1">
      <c r="A62" s="506" t="s">
        <v>215</v>
      </c>
      <c r="B62" s="507" t="s">
        <v>216</v>
      </c>
      <c r="C62" s="508"/>
      <c r="D62" s="509" t="s">
        <v>84</v>
      </c>
      <c r="E62" s="508" t="s">
        <v>84</v>
      </c>
      <c r="F62" s="508"/>
      <c r="G62" s="508"/>
      <c r="H62" s="508"/>
      <c r="I62" s="505">
        <f>I63</f>
        <v>1926034</v>
      </c>
      <c r="J62" s="230">
        <f>J63</f>
        <v>687917</v>
      </c>
      <c r="K62" s="230"/>
      <c r="L62" s="230">
        <f>J62+K62</f>
        <v>687917</v>
      </c>
      <c r="M62" s="505">
        <f>M63</f>
        <v>687917</v>
      </c>
      <c r="N62" s="505">
        <f>N63</f>
        <v>550200</v>
      </c>
      <c r="O62" s="505">
        <f>O63</f>
        <v>329400</v>
      </c>
      <c r="P62" s="505">
        <f>P63</f>
        <v>0</v>
      </c>
      <c r="Q62" s="505">
        <v>0</v>
      </c>
      <c r="R62" s="512">
        <f>SUM(L62:P62)</f>
        <v>2255434</v>
      </c>
    </row>
    <row r="63" spans="1:26" s="38" customFormat="1">
      <c r="A63" s="220"/>
      <c r="B63" s="346" t="s">
        <v>161</v>
      </c>
      <c r="C63" s="244"/>
      <c r="D63" s="59" t="s">
        <v>84</v>
      </c>
      <c r="E63" s="347" t="s">
        <v>84</v>
      </c>
      <c r="F63" s="347"/>
      <c r="G63" s="347"/>
      <c r="H63" s="347"/>
      <c r="I63" s="222">
        <f>SUM(I64:I72)</f>
        <v>1926034</v>
      </c>
      <c r="J63" s="223">
        <f>SUM(J64:J72)</f>
        <v>687917</v>
      </c>
      <c r="K63" s="223"/>
      <c r="L63" s="223">
        <f>J63+K63</f>
        <v>687917</v>
      </c>
      <c r="M63" s="222">
        <f>SUM(M64:M72)</f>
        <v>687917</v>
      </c>
      <c r="N63" s="222">
        <f>SUM(N65:N72)</f>
        <v>550200</v>
      </c>
      <c r="O63" s="222">
        <f>SUM(O65:O72)</f>
        <v>329400</v>
      </c>
      <c r="P63" s="222">
        <f>SUM(P65:P72)</f>
        <v>0</v>
      </c>
      <c r="Q63" s="53">
        <v>0</v>
      </c>
      <c r="R63" s="225">
        <f>SUM(L63:P63)</f>
        <v>2255434</v>
      </c>
      <c r="S63" s="510">
        <f>SUM(R64:R72)</f>
        <v>2255434</v>
      </c>
    </row>
    <row r="64" spans="1:26" ht="25.5">
      <c r="A64" s="185" t="s">
        <v>165</v>
      </c>
      <c r="B64" s="348" t="s">
        <v>217</v>
      </c>
      <c r="C64" s="267" t="s">
        <v>184</v>
      </c>
      <c r="D64" s="59">
        <v>2011</v>
      </c>
      <c r="E64" s="59">
        <v>2012</v>
      </c>
      <c r="F64" s="59">
        <v>700</v>
      </c>
      <c r="G64" s="59">
        <v>70005</v>
      </c>
      <c r="H64" s="59">
        <v>4400</v>
      </c>
      <c r="I64" s="53">
        <f>J64+M64</f>
        <v>44344</v>
      </c>
      <c r="J64" s="271">
        <v>22172</v>
      </c>
      <c r="K64" s="271"/>
      <c r="L64" s="223">
        <f t="shared" ref="L64:L72" si="29">J64+K64</f>
        <v>22172</v>
      </c>
      <c r="M64" s="53">
        <v>22172</v>
      </c>
      <c r="N64" s="53">
        <v>0</v>
      </c>
      <c r="O64" s="53">
        <v>0</v>
      </c>
      <c r="P64" s="53">
        <v>0</v>
      </c>
      <c r="Q64" s="53">
        <v>0</v>
      </c>
      <c r="R64" s="225">
        <f t="shared" si="27"/>
        <v>44344</v>
      </c>
    </row>
    <row r="65" spans="1:18" ht="38.25">
      <c r="A65" s="185" t="s">
        <v>119</v>
      </c>
      <c r="B65" s="348" t="s">
        <v>218</v>
      </c>
      <c r="C65" s="267" t="s">
        <v>184</v>
      </c>
      <c r="D65" s="59">
        <v>2011</v>
      </c>
      <c r="E65" s="59">
        <v>2012</v>
      </c>
      <c r="F65" s="59">
        <v>700</v>
      </c>
      <c r="G65" s="59">
        <v>70005</v>
      </c>
      <c r="H65" s="59">
        <v>4300</v>
      </c>
      <c r="I65" s="53">
        <f>J65+M65</f>
        <v>28306</v>
      </c>
      <c r="J65" s="271">
        <v>14153</v>
      </c>
      <c r="K65" s="271"/>
      <c r="L65" s="223">
        <f t="shared" si="29"/>
        <v>14153</v>
      </c>
      <c r="M65" s="53">
        <v>14153</v>
      </c>
      <c r="N65" s="53">
        <v>0</v>
      </c>
      <c r="O65" s="53">
        <v>0</v>
      </c>
      <c r="P65" s="53">
        <v>0</v>
      </c>
      <c r="Q65" s="53">
        <v>0</v>
      </c>
      <c r="R65" s="225">
        <f t="shared" si="27"/>
        <v>28306</v>
      </c>
    </row>
    <row r="66" spans="1:18" ht="51">
      <c r="A66" s="185" t="s">
        <v>121</v>
      </c>
      <c r="B66" s="348" t="s">
        <v>219</v>
      </c>
      <c r="C66" s="349" t="s">
        <v>173</v>
      </c>
      <c r="D66" s="59">
        <v>2011</v>
      </c>
      <c r="E66" s="59">
        <v>2012</v>
      </c>
      <c r="F66" s="59">
        <v>600</v>
      </c>
      <c r="G66" s="59">
        <v>60016</v>
      </c>
      <c r="H66" s="59">
        <v>4300</v>
      </c>
      <c r="I66" s="53">
        <f>J66+M66</f>
        <v>40626</v>
      </c>
      <c r="J66" s="271">
        <v>20313</v>
      </c>
      <c r="K66" s="271"/>
      <c r="L66" s="223">
        <f t="shared" si="29"/>
        <v>20313</v>
      </c>
      <c r="M66" s="53">
        <v>20313</v>
      </c>
      <c r="N66" s="53">
        <v>0</v>
      </c>
      <c r="O66" s="53">
        <v>0</v>
      </c>
      <c r="P66" s="53">
        <v>0</v>
      </c>
      <c r="Q66" s="53">
        <v>0</v>
      </c>
      <c r="R66" s="225">
        <f t="shared" si="27"/>
        <v>40626</v>
      </c>
    </row>
    <row r="67" spans="1:18" ht="25.5">
      <c r="A67" s="185" t="s">
        <v>123</v>
      </c>
      <c r="B67" s="348" t="s">
        <v>220</v>
      </c>
      <c r="C67" s="267" t="s">
        <v>221</v>
      </c>
      <c r="D67" s="59">
        <v>2011</v>
      </c>
      <c r="E67" s="59">
        <v>2013</v>
      </c>
      <c r="F67" s="59">
        <v>750</v>
      </c>
      <c r="G67" s="59">
        <v>75023</v>
      </c>
      <c r="H67" s="59">
        <v>4300</v>
      </c>
      <c r="I67" s="53">
        <f>J67+M67+N67</f>
        <v>549000</v>
      </c>
      <c r="J67" s="271">
        <v>183000</v>
      </c>
      <c r="K67" s="271"/>
      <c r="L67" s="223">
        <f t="shared" si="29"/>
        <v>183000</v>
      </c>
      <c r="M67" s="53">
        <v>183000</v>
      </c>
      <c r="N67" s="53">
        <v>183000</v>
      </c>
      <c r="O67" s="53">
        <v>0</v>
      </c>
      <c r="P67" s="53">
        <v>0</v>
      </c>
      <c r="Q67" s="53">
        <v>0</v>
      </c>
      <c r="R67" s="225">
        <f t="shared" si="27"/>
        <v>549000</v>
      </c>
    </row>
    <row r="68" spans="1:18">
      <c r="A68" s="185" t="s">
        <v>125</v>
      </c>
      <c r="B68" s="348" t="s">
        <v>222</v>
      </c>
      <c r="C68" s="267" t="s">
        <v>221</v>
      </c>
      <c r="D68" s="59">
        <v>2011</v>
      </c>
      <c r="E68" s="59">
        <v>2012</v>
      </c>
      <c r="F68" s="59">
        <v>750</v>
      </c>
      <c r="G68" s="59">
        <v>75023</v>
      </c>
      <c r="H68" s="59">
        <v>4300</v>
      </c>
      <c r="I68" s="53">
        <f>J68+M68</f>
        <v>8198</v>
      </c>
      <c r="J68" s="271">
        <v>4099</v>
      </c>
      <c r="K68" s="271"/>
      <c r="L68" s="223">
        <f t="shared" si="29"/>
        <v>4099</v>
      </c>
      <c r="M68" s="59">
        <v>4099</v>
      </c>
      <c r="N68" s="59">
        <v>0</v>
      </c>
      <c r="O68" s="53">
        <v>0</v>
      </c>
      <c r="P68" s="53">
        <v>0</v>
      </c>
      <c r="Q68" s="53">
        <v>0</v>
      </c>
      <c r="R68" s="225">
        <f t="shared" si="27"/>
        <v>8198</v>
      </c>
    </row>
    <row r="69" spans="1:18" ht="37.5" customHeight="1">
      <c r="A69" s="185" t="s">
        <v>127</v>
      </c>
      <c r="B69" s="348" t="s">
        <v>223</v>
      </c>
      <c r="C69" s="267" t="s">
        <v>221</v>
      </c>
      <c r="D69" s="59">
        <v>2011</v>
      </c>
      <c r="E69" s="59">
        <v>2012</v>
      </c>
      <c r="F69" s="59">
        <v>750</v>
      </c>
      <c r="G69" s="59">
        <v>75023</v>
      </c>
      <c r="H69" s="59">
        <v>4300</v>
      </c>
      <c r="I69" s="53">
        <f>J69+M69</f>
        <v>6360</v>
      </c>
      <c r="J69" s="271">
        <v>3180</v>
      </c>
      <c r="K69" s="271"/>
      <c r="L69" s="223">
        <f t="shared" si="29"/>
        <v>3180</v>
      </c>
      <c r="M69" s="59">
        <v>3180</v>
      </c>
      <c r="N69" s="59">
        <v>0</v>
      </c>
      <c r="O69" s="53">
        <v>0</v>
      </c>
      <c r="P69" s="53">
        <v>0</v>
      </c>
      <c r="Q69" s="53">
        <v>0</v>
      </c>
      <c r="R69" s="225">
        <f t="shared" si="27"/>
        <v>6360</v>
      </c>
    </row>
    <row r="70" spans="1:18" ht="51">
      <c r="A70" s="185" t="s">
        <v>129</v>
      </c>
      <c r="B70" s="348" t="s">
        <v>224</v>
      </c>
      <c r="C70" s="267" t="s">
        <v>225</v>
      </c>
      <c r="D70" s="59">
        <v>2011</v>
      </c>
      <c r="E70" s="59">
        <v>2013</v>
      </c>
      <c r="F70" s="59">
        <v>700</v>
      </c>
      <c r="G70" s="59">
        <v>70005</v>
      </c>
      <c r="H70" s="59">
        <v>4400</v>
      </c>
      <c r="I70" s="53">
        <f>J70+M70+N70</f>
        <v>252000</v>
      </c>
      <c r="J70" s="271">
        <v>108000</v>
      </c>
      <c r="K70" s="271"/>
      <c r="L70" s="223">
        <f t="shared" si="29"/>
        <v>108000</v>
      </c>
      <c r="M70" s="53">
        <v>108000</v>
      </c>
      <c r="N70" s="53">
        <v>36000</v>
      </c>
      <c r="O70" s="53">
        <v>0</v>
      </c>
      <c r="P70" s="53">
        <v>0</v>
      </c>
      <c r="Q70" s="53">
        <v>0</v>
      </c>
      <c r="R70" s="225">
        <f t="shared" si="27"/>
        <v>252000</v>
      </c>
    </row>
    <row r="71" spans="1:18" ht="25.5">
      <c r="A71" s="185" t="s">
        <v>131</v>
      </c>
      <c r="B71" s="348" t="s">
        <v>226</v>
      </c>
      <c r="C71" s="267" t="s">
        <v>225</v>
      </c>
      <c r="D71" s="59">
        <v>2011</v>
      </c>
      <c r="E71" s="59">
        <v>2013</v>
      </c>
      <c r="F71" s="59">
        <v>700</v>
      </c>
      <c r="G71" s="59">
        <v>70005</v>
      </c>
      <c r="H71" s="59">
        <v>4400</v>
      </c>
      <c r="I71" s="53">
        <f>J71+M71+N71</f>
        <v>9000</v>
      </c>
      <c r="J71" s="271">
        <v>3600</v>
      </c>
      <c r="K71" s="271"/>
      <c r="L71" s="223">
        <f t="shared" si="29"/>
        <v>3600</v>
      </c>
      <c r="M71" s="53">
        <v>3600</v>
      </c>
      <c r="N71" s="59">
        <v>1800</v>
      </c>
      <c r="O71" s="53">
        <v>0</v>
      </c>
      <c r="P71" s="53">
        <v>0</v>
      </c>
      <c r="Q71" s="53">
        <v>0</v>
      </c>
      <c r="R71" s="225">
        <f t="shared" si="27"/>
        <v>9000</v>
      </c>
    </row>
    <row r="72" spans="1:18" ht="63.75">
      <c r="A72" s="185" t="s">
        <v>133</v>
      </c>
      <c r="B72" s="348" t="s">
        <v>227</v>
      </c>
      <c r="C72" s="267" t="s">
        <v>225</v>
      </c>
      <c r="D72" s="59">
        <v>2011</v>
      </c>
      <c r="E72" s="59">
        <v>2014</v>
      </c>
      <c r="F72" s="59">
        <v>801</v>
      </c>
      <c r="G72" s="59">
        <v>80101</v>
      </c>
      <c r="H72" s="59">
        <v>4400</v>
      </c>
      <c r="I72" s="53">
        <f>J72+M72+N72+P72</f>
        <v>988200</v>
      </c>
      <c r="J72" s="271">
        <v>329400</v>
      </c>
      <c r="K72" s="271"/>
      <c r="L72" s="223">
        <f t="shared" si="29"/>
        <v>329400</v>
      </c>
      <c r="M72" s="53">
        <v>329400</v>
      </c>
      <c r="N72" s="53">
        <v>329400</v>
      </c>
      <c r="O72" s="53">
        <v>329400</v>
      </c>
      <c r="P72" s="53"/>
      <c r="Q72" s="53">
        <v>0</v>
      </c>
      <c r="R72" s="225">
        <f t="shared" si="27"/>
        <v>1317600</v>
      </c>
    </row>
    <row r="73" spans="1:18">
      <c r="A73" s="90"/>
      <c r="B73" s="90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90"/>
    </row>
    <row r="74" spans="1:18" ht="15">
      <c r="A74" s="37"/>
      <c r="B74" s="49"/>
      <c r="C74" s="50"/>
    </row>
    <row r="75" spans="1:18" ht="15">
      <c r="A75" s="37"/>
      <c r="B75" s="51"/>
      <c r="C75" s="50"/>
    </row>
    <row r="76" spans="1:18" ht="15">
      <c r="A76" s="52"/>
      <c r="B76" s="51"/>
      <c r="C76" s="50"/>
    </row>
    <row r="77" spans="1:18">
      <c r="A77" s="37"/>
      <c r="B77" s="37"/>
      <c r="C77" s="50"/>
    </row>
  </sheetData>
  <mergeCells count="28">
    <mergeCell ref="B49:B50"/>
    <mergeCell ref="F29:H29"/>
    <mergeCell ref="F32:H32"/>
    <mergeCell ref="B35:B37"/>
    <mergeCell ref="F35:H35"/>
    <mergeCell ref="F39:H39"/>
    <mergeCell ref="F43:H43"/>
    <mergeCell ref="I8:I10"/>
    <mergeCell ref="F28:H28"/>
    <mergeCell ref="B24:B25"/>
    <mergeCell ref="F24:H24"/>
    <mergeCell ref="B47:B48"/>
    <mergeCell ref="O9:O10"/>
    <mergeCell ref="A6:R7"/>
    <mergeCell ref="J8:Q8"/>
    <mergeCell ref="F18:H18"/>
    <mergeCell ref="B19:B20"/>
    <mergeCell ref="F19:H19"/>
    <mergeCell ref="M9:M10"/>
    <mergeCell ref="N9:N10"/>
    <mergeCell ref="P9:P10"/>
    <mergeCell ref="R8:R10"/>
    <mergeCell ref="J9:L9"/>
    <mergeCell ref="D8:E9"/>
    <mergeCell ref="F8:H9"/>
    <mergeCell ref="C8:C10"/>
    <mergeCell ref="A8:A10"/>
    <mergeCell ref="B8:B10"/>
  </mergeCells>
  <printOptions horizontalCentered="1"/>
  <pageMargins left="0.39374999999999999" right="0.19652777777777777" top="0.27569444444444446" bottom="0.51180555555555551" header="0.51180555555555551" footer="0.51180555555555551"/>
  <pageSetup paperSize="9" scale="67" firstPageNumber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spł poż</vt:lpstr>
      <vt:lpstr>spł obligacji</vt:lpstr>
      <vt:lpstr>Arkusz5</vt:lpstr>
      <vt:lpstr>WPF</vt:lpstr>
      <vt:lpstr>Prognoza długu</vt:lpstr>
      <vt:lpstr>Wykaz przedsięwzięć</vt:lpstr>
      <vt:lpstr>'Prognoza długu'!Obszar_wydruku</vt:lpstr>
      <vt:lpstr>'Wykaz przedsięwzięć'!Tytuły_wydruku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UG</cp:lastModifiedBy>
  <cp:lastPrinted>2011-05-25T15:04:40Z</cp:lastPrinted>
  <dcterms:created xsi:type="dcterms:W3CDTF">2011-02-22T14:35:52Z</dcterms:created>
  <dcterms:modified xsi:type="dcterms:W3CDTF">2011-05-25T15:09:39Z</dcterms:modified>
</cp:coreProperties>
</file>