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activeTab="3"/>
  </bookViews>
  <sheets>
    <sheet name="spł poż" sheetId="1" r:id="rId1"/>
    <sheet name="spł obligacji" sheetId="2" r:id="rId2"/>
    <sheet name="Arkusz5" sheetId="3" r:id="rId3"/>
    <sheet name="WPF" sheetId="4" r:id="rId4"/>
    <sheet name="Prognoza długu" sheetId="5" r:id="rId5"/>
    <sheet name="Wykaz przedsięwzięć" sheetId="6" r:id="rId6"/>
  </sheets>
  <definedNames>
    <definedName name="_xlnm.Print_Area" localSheetId="4">'Prognoza długu'!$H$16</definedName>
  </definedNames>
  <calcPr fullCalcOnLoad="1"/>
</workbook>
</file>

<file path=xl/comments4.xml><?xml version="1.0" encoding="utf-8"?>
<comments xmlns="http://schemas.openxmlformats.org/spreadsheetml/2006/main">
  <authors>
    <author>UG</author>
  </authors>
  <commentList>
    <comment ref="B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<sst xmlns="http://schemas.openxmlformats.org/spreadsheetml/2006/main" count="699" uniqueCount="339">
  <si>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</si>
  <si>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</si>
  <si>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</si>
  <si>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</si>
  <si>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</si>
  <si>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</si>
  <si>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</si>
  <si>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</si>
  <si>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</si>
  <si>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</si>
  <si>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</si>
  <si>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</si>
  <si>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</si>
  <si>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</si>
  <si>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</si>
  <si>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</si>
  <si>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</si>
  <si>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</si>
  <si>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</si>
  <si>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</si>
  <si>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</si>
  <si>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</si>
  <si>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</si>
  <si>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</si>
  <si>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</si>
  <si>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</si>
  <si>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</si>
  <si>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</si>
  <si>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</si>
  <si>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</si>
  <si>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</si>
  <si>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</si>
  <si>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</si>
  <si>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</si>
  <si>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</si>
  <si>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</si>
  <si>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</si>
  <si>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</si>
  <si>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</si>
  <si>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</si>
  <si>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</si>
  <si>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</si>
  <si>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</si>
  <si>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</si>
  <si>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</si>
  <si>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</si>
  <si>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</si>
  <si>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</si>
  <si>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</si>
  <si>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</si>
  <si>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2011 - 2021</t>
  </si>
  <si>
    <t>WIELOLETNIA  PROGNOZA  FINANSOWA  GMINY  LESZNOWOLA  NA LATA  2011 - 2019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</si>
  <si>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</si>
  <si>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</si>
  <si>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</si>
  <si>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</si>
  <si>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</si>
  <si>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</si>
  <si>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</si>
  <si>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</si>
  <si>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</si>
  <si>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</si>
  <si>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</si>
  <si>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</si>
  <si>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</si>
  <si>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</si>
  <si>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</si>
  <si>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</si>
  <si>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</si>
  <si>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</si>
  <si>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</si>
  <si>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</si>
  <si>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</si>
  <si>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</si>
  <si>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</si>
  <si>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</si>
  <si>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</si>
  <si>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</si>
  <si>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</si>
  <si>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</si>
  <si>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</si>
  <si>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</si>
  <si>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</si>
  <si>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</si>
  <si>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</si>
  <si>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</si>
  <si>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</si>
  <si>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</si>
  <si>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</si>
  <si>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</si>
  <si>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</si>
  <si>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</si>
  <si>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</si>
  <si>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</si>
  <si>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</si>
  <si>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</si>
  <si>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</si>
  <si>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</si>
  <si>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</si>
  <si>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</si>
  <si>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</si>
  <si>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</si>
  <si>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</si>
  <si>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</si>
  <si>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</si>
  <si>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</si>
  <si>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</si>
  <si>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</si>
  <si>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</si>
  <si>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</si>
  <si>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</si>
  <si>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</si>
  <si>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</si>
  <si>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</si>
  <si>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 xml:space="preserve">PROGNOZA 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</si>
  <si>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</si>
  <si>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</si>
  <si>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</si>
  <si>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</si>
  <si>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</si>
  <si>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</si>
  <si>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</si>
  <si>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</si>
  <si>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</si>
  <si>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</si>
  <si>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</si>
  <si>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</si>
  <si>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</si>
  <si>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</si>
  <si>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</si>
  <si>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</si>
  <si>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</si>
  <si>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</si>
  <si>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</si>
  <si>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</si>
  <si>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</si>
  <si>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</si>
  <si>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</si>
  <si>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</si>
  <si>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</si>
  <si>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</si>
  <si>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</si>
  <si>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</si>
  <si>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</si>
  <si>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</si>
  <si>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</si>
  <si>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</si>
  <si>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</si>
  <si>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</si>
  <si>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</si>
  <si>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</si>
  <si>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</si>
  <si>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</si>
  <si>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</si>
  <si>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</si>
  <si>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</si>
  <si>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</si>
  <si>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</si>
  <si>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</si>
  <si>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</si>
  <si>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</si>
  <si>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</si>
  <si>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</si>
  <si>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</si>
  <si>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</si>
  <si>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</si>
  <si>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</si>
  <si>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</si>
  <si>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</si>
  <si>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</si>
  <si>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</si>
  <si>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</si>
  <si>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</si>
  <si>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</si>
  <si>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</si>
  <si>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</si>
  <si>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</si>
  <si>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</si>
  <si>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</si>
  <si>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 xml:space="preserve">Magdalenka - Projekt i budowa świetlicy </t>
  </si>
  <si>
    <t>1.2.3</t>
  </si>
  <si>
    <t xml:space="preserve">Nowa Iwiczna - Projekt i budowa obiektu integracji społecznej wraz z zagospodarowaniem terenu </t>
  </si>
  <si>
    <t>1.2.4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</si>
  <si>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</si>
  <si>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</si>
  <si>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</si>
  <si>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</si>
  <si>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</si>
  <si>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</si>
  <si>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</si>
  <si>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</si>
  <si>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</si>
  <si>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</si>
  <si>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</si>
  <si>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</si>
  <si>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</si>
  <si>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2.1.3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</si>
  <si>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</si>
  <si>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</si>
  <si>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</si>
  <si>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</si>
  <si>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</si>
  <si>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</si>
  <si>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</si>
  <si>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</si>
  <si>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</si>
  <si>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</si>
  <si>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</si>
  <si>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</si>
  <si>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</si>
  <si>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</si>
  <si>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</si>
  <si>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</si>
  <si>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</si>
  <si>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</si>
  <si>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</si>
  <si>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</si>
  <si>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</si>
  <si>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</si>
  <si>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</si>
  <si>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</si>
  <si>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</si>
  <si>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</si>
  <si>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</si>
  <si>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</si>
  <si>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</si>
  <si>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</si>
  <si>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</si>
  <si>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</si>
  <si>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</si>
  <si>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</si>
  <si>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</si>
  <si>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</si>
  <si>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</si>
  <si>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</si>
  <si>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1.2.5</t>
  </si>
  <si>
    <t>Mysiadło - Projekt oświetlenia ulic: Aronii, Porzeczkowej i Agrestowej</t>
  </si>
  <si>
    <t>1.2.6</t>
  </si>
  <si>
    <t>1.2.7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</si>
  <si>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</si>
  <si>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</si>
  <si>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</si>
  <si>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</si>
  <si>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</si>
  <si>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</si>
  <si>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</si>
  <si>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</si>
  <si>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</si>
  <si>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1.2.8</t>
  </si>
  <si>
    <t>1.2.9</t>
  </si>
  <si>
    <t>Mysiadło - Projekt budowy oświetlenia ulicy nr ewid. dz. 20/17, 31/6 i 22                             (pkt świetlne)</t>
  </si>
  <si>
    <t>Łazy II - Projekt budowy oświetlenia na drodze gminnej dz. nr. 44/72 i 46 (przy ul. Przyszłości-pkt świetlne)</t>
  </si>
  <si>
    <t>2.1.6</t>
  </si>
  <si>
    <t>Lesznowola - Projekt i budowa  ul. Okrężnej oraz projekty branżowe wraz z wytyczeniem geodezyjnym</t>
  </si>
  <si>
    <t>2.1.7</t>
  </si>
  <si>
    <t>1.1.5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</si>
  <si>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</si>
  <si>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</si>
  <si>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</si>
  <si>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</si>
  <si>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1.2.10</t>
  </si>
  <si>
    <t>Lesznowola - Projekt i  budowa  ul. Sportowej wraz z wytyczeniem geodezyjnym przebiegu drogi</t>
  </si>
  <si>
    <t>2.1.5</t>
  </si>
  <si>
    <t>2.1.8</t>
  </si>
  <si>
    <t>2.1.9</t>
  </si>
  <si>
    <t>2.1.10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</si>
  <si>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</si>
  <si>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</si>
  <si>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</si>
  <si>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</si>
  <si>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r>
      <t xml:space="preserve">Dzierżawa nieruchomości o nr. ew. 36/16   położonej w Nowej Iwicznej  </t>
    </r>
    <r>
      <rPr>
        <vertAlign val="superscript"/>
        <sz val="10"/>
        <rFont val="Cambria"/>
        <family val="1"/>
      </rPr>
      <t>1)</t>
    </r>
  </si>
  <si>
    <t>1.1.7</t>
  </si>
  <si>
    <t>Programy, projekty lub zadania        ( razem)</t>
  </si>
  <si>
    <t>Wilcza Góra-Projekt  budowy ul. Jasnej z odwodnieniem</t>
  </si>
  <si>
    <t>Odławianie zwierząt</t>
  </si>
  <si>
    <t>Odśnieżanie dróg gminnych</t>
  </si>
  <si>
    <t xml:space="preserve">Nowa Wola - Moderniz, remont  ul. Plonowej I etap </t>
  </si>
  <si>
    <t>1.1.8</t>
  </si>
  <si>
    <t>Warszawianka - Budowa ciągu pieszo-jezdnego od ul. Rejonowej (vis a vis ul. Brzozowej) - ul. Sielankowa</t>
  </si>
  <si>
    <t>Zakup energii</t>
  </si>
  <si>
    <t>ZOPO</t>
  </si>
  <si>
    <t>16.</t>
  </si>
  <si>
    <t>WYKAZ PRZEDSIĘWZIĘĆ GMINY LESZNOWOLA  NA LATA 2012 - 2016  rok</t>
  </si>
  <si>
    <t>17.</t>
  </si>
  <si>
    <t>18.</t>
  </si>
  <si>
    <t>19.</t>
  </si>
  <si>
    <t>20.</t>
  </si>
  <si>
    <t>21.</t>
  </si>
  <si>
    <t>UG-RDM</t>
  </si>
  <si>
    <t xml:space="preserve"> Nowa Iwiczna i Stara Iwiczna - Projekt kanalizacji deszczowej ul. Kielecka, ul. Cisowa, ul. Krasickiego i Al. Zgoda</t>
  </si>
  <si>
    <t xml:space="preserve">Lesznowola - Projekt rozbudowy ul. Okrężnej na odcinku od ul. Słonecznej do dz. nr. 278 </t>
  </si>
  <si>
    <t>Stachowo, Wólka Kosowska, PAN Kosów i Mroków - Projekt ul. Karasia z odwodnieniem</t>
  </si>
  <si>
    <t>UG - ROŚ</t>
  </si>
  <si>
    <t>Mysiadło- Projekt i przebudowa ul. Polnej wraz z odwodnieniem</t>
  </si>
  <si>
    <t>UG - RPI</t>
  </si>
  <si>
    <t>20 400 000,-zł</t>
  </si>
  <si>
    <t>20 000 000,-zł</t>
  </si>
  <si>
    <t>2.1.11</t>
  </si>
  <si>
    <t>Łazy - Projekt budowy ul. Spokojnej</t>
  </si>
  <si>
    <t>2.1.12</t>
  </si>
  <si>
    <t>2.1.13</t>
  </si>
  <si>
    <t>2.1.14</t>
  </si>
  <si>
    <t>2.1.15</t>
  </si>
  <si>
    <t>2.1.16</t>
  </si>
  <si>
    <t>Plan III kw. 2011</t>
  </si>
  <si>
    <t>WIELOLETNIA  PROGNOZA  FINANSOWA  GMINY  LESZNOWOLA  NA LATA  2012 - 2021</t>
  </si>
  <si>
    <t xml:space="preserve">Lesznowola-Projekt i budowa parkingu wraz z odwodnieniem przy Zespole Szkół Publicznych </t>
  </si>
  <si>
    <t>Zakup energii- oświetlenie ulic</t>
  </si>
  <si>
    <t>22.</t>
  </si>
  <si>
    <t>23.</t>
  </si>
  <si>
    <t>Lesznowola - Projekt i przebudowa  ul. GRN  wraz z aktualizacją geodezyjną</t>
  </si>
  <si>
    <t xml:space="preserve">Magdalenka -Budowa ul. Okrężnej </t>
  </si>
  <si>
    <t>Magdalenka -Budowa ul. Modrzewiowej</t>
  </si>
  <si>
    <t>Magdalenka -Budowa ul. Jałowcowej</t>
  </si>
  <si>
    <t>Mysiadło- Projekt budowy zbiorników retencyjnych (sztuczne zbiorniki wód opadowych)</t>
  </si>
  <si>
    <t xml:space="preserve">Dowożenie i odwożenie dzieci niepełnosprawnych do placówek oświatowych w roku szkolnym 2011/2012 </t>
  </si>
  <si>
    <t>Transport uczniów do szkół i ze szkół w roku szkolnym 2011/2013</t>
  </si>
  <si>
    <t>24.</t>
  </si>
  <si>
    <t>PROGNOZA DŁUGU GMINY LESZNOWOLA NA LATA 2012- 2021</t>
  </si>
  <si>
    <t>Mysiadło -Budowa ul. Aronii i Porzeczkowej</t>
  </si>
  <si>
    <t>1.1.9</t>
  </si>
  <si>
    <t xml:space="preserve">Plany przestrzennego zagospodarowania </t>
  </si>
  <si>
    <t>UG-RUiPP</t>
  </si>
  <si>
    <t>25.</t>
  </si>
  <si>
    <t xml:space="preserve">Świadczenie usług pocztowych przez Pocztę </t>
  </si>
  <si>
    <t xml:space="preserve">Nowa Iwiczna - Projekt kanalizacji deszczowej ul. Willowa, Cicha i Krasickiego </t>
  </si>
  <si>
    <t>55 381 222,-zł</t>
  </si>
  <si>
    <t xml:space="preserve">Nowa Iwiczna - Projekt przebudowy ul. Torowej wraz z odwodnieniem </t>
  </si>
  <si>
    <t>Magdalenka -Proj i budowa ciągu pieszo-rowerowego - III etap</t>
  </si>
  <si>
    <t>Nowa Iwiczna - Projekt kanalizacji deszczowej ul. Wiosenna, Spacerowa, Zimowa i Graniczna  na odcinku od ul. Kwiatowej do ul. Mleczarskiej</t>
  </si>
  <si>
    <t>2.1.17</t>
  </si>
  <si>
    <t>Do Uchwały Nr 137/XI/2011</t>
  </si>
  <si>
    <t>z dnia 16 grudnia 2011r.</t>
  </si>
  <si>
    <t>Do Uchwały Nr  137/XI/2011</t>
  </si>
  <si>
    <t>z dnia  16 grudnia 2011r.</t>
  </si>
  <si>
    <t>Kolonia Lesznowola - Projekt  budowy ul. Krótkiej</t>
  </si>
  <si>
    <t xml:space="preserve">Najem lakalu na potrzeby świetlicy Nowa Iwiczna </t>
  </si>
  <si>
    <t xml:space="preserve">Najem lakalu na potrzeby świetlicy Stara  Iwiczna </t>
  </si>
  <si>
    <t>26.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</si>
</sst>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5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20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0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/>
      <right/>
      <top style="hair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3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164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1" xfId="0" applyNumberFormat="1" applyFont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0" fontId="25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left" vertical="center" wrapText="1"/>
    </xf>
    <xf numFmtId="3" fontId="34" fillId="0" borderId="14" xfId="0" applyNumberFormat="1" applyFont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5" fillId="24" borderId="0" xfId="0" applyFont="1" applyFill="1" applyBorder="1" applyAlignment="1">
      <alignment vertical="center" wrapText="1"/>
    </xf>
    <xf numFmtId="0" fontId="36" fillId="24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8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vertical="top" wrapText="1"/>
    </xf>
    <xf numFmtId="0" fontId="38" fillId="24" borderId="0" xfId="0" applyFont="1" applyFill="1" applyBorder="1" applyAlignment="1">
      <alignment vertical="top"/>
    </xf>
    <xf numFmtId="0" fontId="39" fillId="24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0" fillId="24" borderId="0" xfId="0" applyFont="1" applyFill="1" applyBorder="1" applyAlignment="1">
      <alignment vertical="top" wrapText="1"/>
    </xf>
    <xf numFmtId="0" fontId="33" fillId="24" borderId="0" xfId="0" applyFont="1" applyFill="1" applyBorder="1" applyAlignment="1">
      <alignment vertical="top"/>
    </xf>
    <xf numFmtId="0" fontId="34" fillId="2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41" fillId="4" borderId="0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/>
    </xf>
    <xf numFmtId="0" fontId="33" fillId="0" borderId="19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3" fontId="33" fillId="24" borderId="1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3" fontId="33" fillId="0" borderId="0" xfId="0" applyNumberFormat="1" applyFont="1" applyAlignment="1">
      <alignment wrapText="1"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5" fillId="0" borderId="20" xfId="0" applyNumberFormat="1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38" fillId="0" borderId="14" xfId="0" applyNumberFormat="1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 wrapText="1"/>
    </xf>
    <xf numFmtId="3" fontId="35" fillId="0" borderId="14" xfId="0" applyNumberFormat="1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textRotation="90"/>
    </xf>
    <xf numFmtId="3" fontId="38" fillId="0" borderId="14" xfId="0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 wrapText="1"/>
    </xf>
    <xf numFmtId="3" fontId="22" fillId="0" borderId="23" xfId="0" applyNumberFormat="1" applyFont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22" borderId="21" xfId="0" applyFont="1" applyFill="1" applyBorder="1" applyAlignment="1">
      <alignment horizontal="center" vertical="center"/>
    </xf>
    <xf numFmtId="3" fontId="35" fillId="22" borderId="14" xfId="0" applyNumberFormat="1" applyFont="1" applyFill="1" applyBorder="1" applyAlignment="1">
      <alignment horizontal="center" vertical="center"/>
    </xf>
    <xf numFmtId="3" fontId="35" fillId="22" borderId="14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4" fontId="35" fillId="0" borderId="14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165" fontId="35" fillId="0" borderId="14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3" fontId="38" fillId="24" borderId="14" xfId="0" applyNumberFormat="1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/>
    </xf>
    <xf numFmtId="0" fontId="38" fillId="0" borderId="0" xfId="0" applyFont="1" applyAlignment="1">
      <alignment wrapText="1"/>
    </xf>
    <xf numFmtId="3" fontId="38" fillId="0" borderId="0" xfId="0" applyNumberFormat="1" applyFont="1" applyAlignment="1">
      <alignment wrapText="1"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5" fillId="0" borderId="27" xfId="0" applyFont="1" applyBorder="1" applyAlignment="1">
      <alignment horizontal="center" vertical="center"/>
    </xf>
    <xf numFmtId="0" fontId="43" fillId="24" borderId="0" xfId="0" applyFont="1" applyFill="1" applyBorder="1" applyAlignment="1">
      <alignment horizontal="right" vertical="top" wrapText="1"/>
    </xf>
    <xf numFmtId="0" fontId="33" fillId="24" borderId="0" xfId="0" applyFont="1" applyFill="1" applyBorder="1" applyAlignment="1">
      <alignment horizontal="right" vertical="top" wrapText="1"/>
    </xf>
    <xf numFmtId="0" fontId="35" fillId="22" borderId="26" xfId="0" applyNumberFormat="1" applyFont="1" applyFill="1" applyBorder="1" applyAlignment="1">
      <alignment horizontal="center" vertical="center"/>
    </xf>
    <xf numFmtId="3" fontId="35" fillId="22" borderId="26" xfId="0" applyNumberFormat="1" applyFont="1" applyFill="1" applyBorder="1" applyAlignment="1">
      <alignment horizontal="center" vertical="center" wrapText="1"/>
    </xf>
    <xf numFmtId="0" fontId="35" fillId="22" borderId="28" xfId="0" applyNumberFormat="1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left" vertical="center" wrapText="1"/>
    </xf>
    <xf numFmtId="3" fontId="34" fillId="0" borderId="30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22" borderId="13" xfId="0" applyFont="1" applyFill="1" applyBorder="1" applyAlignment="1">
      <alignment horizontal="center" vertical="center"/>
    </xf>
    <xf numFmtId="0" fontId="33" fillId="22" borderId="14" xfId="0" applyFont="1" applyFill="1" applyBorder="1" applyAlignment="1">
      <alignment horizontal="left" vertical="center" wrapText="1"/>
    </xf>
    <xf numFmtId="3" fontId="33" fillId="22" borderId="14" xfId="0" applyNumberFormat="1" applyFont="1" applyFill="1" applyBorder="1" applyAlignment="1">
      <alignment horizontal="center" vertical="center"/>
    </xf>
    <xf numFmtId="165" fontId="33" fillId="22" borderId="14" xfId="0" applyNumberFormat="1" applyFont="1" applyFill="1" applyBorder="1" applyAlignment="1">
      <alignment horizontal="center" vertical="center"/>
    </xf>
    <xf numFmtId="0" fontId="33" fillId="22" borderId="19" xfId="0" applyFont="1" applyFill="1" applyBorder="1" applyAlignment="1">
      <alignment horizontal="left" vertical="center" wrapText="1"/>
    </xf>
    <xf numFmtId="4" fontId="33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3" fontId="44" fillId="0" borderId="14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/>
    </xf>
    <xf numFmtId="0" fontId="33" fillId="22" borderId="25" xfId="0" applyFont="1" applyFill="1" applyBorder="1" applyAlignment="1">
      <alignment horizontal="center" vertical="center"/>
    </xf>
    <xf numFmtId="0" fontId="33" fillId="22" borderId="26" xfId="0" applyFont="1" applyFill="1" applyBorder="1" applyAlignment="1">
      <alignment horizontal="left" vertical="center" wrapText="1"/>
    </xf>
    <xf numFmtId="4" fontId="33" fillId="22" borderId="2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4" borderId="31" xfId="0" applyFont="1" applyFill="1" applyBorder="1" applyAlignment="1">
      <alignment horizontal="center" vertical="center"/>
    </xf>
    <xf numFmtId="0" fontId="35" fillId="4" borderId="32" xfId="0" applyFont="1" applyFill="1" applyBorder="1" applyAlignment="1">
      <alignment horizontal="left" vertical="center" wrapText="1"/>
    </xf>
    <xf numFmtId="0" fontId="38" fillId="4" borderId="33" xfId="0" applyFont="1" applyFill="1" applyBorder="1" applyAlignment="1">
      <alignment horizontal="center" vertical="center" wrapText="1"/>
    </xf>
    <xf numFmtId="3" fontId="35" fillId="4" borderId="33" xfId="0" applyNumberFormat="1" applyFont="1" applyFill="1" applyBorder="1" applyAlignment="1">
      <alignment horizontal="center" vertical="center" wrapText="1"/>
    </xf>
    <xf numFmtId="3" fontId="34" fillId="4" borderId="33" xfId="0" applyNumberFormat="1" applyFont="1" applyFill="1" applyBorder="1" applyAlignment="1">
      <alignment horizontal="center" vertical="center" wrapText="1"/>
    </xf>
    <xf numFmtId="3" fontId="35" fillId="4" borderId="34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35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3" fontId="45" fillId="0" borderId="36" xfId="0" applyNumberFormat="1" applyFont="1" applyBorder="1" applyAlignment="1">
      <alignment horizontal="center" vertical="center"/>
    </xf>
    <xf numFmtId="0" fontId="34" fillId="4" borderId="13" xfId="0" applyFont="1" applyFill="1" applyBorder="1" applyAlignment="1">
      <alignment horizontal="center" vertical="center"/>
    </xf>
    <xf numFmtId="0" fontId="35" fillId="4" borderId="35" xfId="0" applyFont="1" applyFill="1" applyBorder="1" applyAlignment="1">
      <alignment horizontal="left" vertical="center" wrapText="1"/>
    </xf>
    <xf numFmtId="0" fontId="38" fillId="4" borderId="14" xfId="0" applyFont="1" applyFill="1" applyBorder="1" applyAlignment="1">
      <alignment horizontal="center" vertical="center" wrapText="1"/>
    </xf>
    <xf numFmtId="3" fontId="35" fillId="4" borderId="14" xfId="0" applyNumberFormat="1" applyFont="1" applyFill="1" applyBorder="1" applyAlignment="1">
      <alignment horizontal="center" vertical="center" wrapText="1"/>
    </xf>
    <xf numFmtId="3" fontId="34" fillId="4" borderId="14" xfId="0" applyNumberFormat="1" applyFont="1" applyFill="1" applyBorder="1" applyAlignment="1">
      <alignment horizontal="center" vertical="center" wrapText="1"/>
    </xf>
    <xf numFmtId="3" fontId="35" fillId="4" borderId="36" xfId="0" applyNumberFormat="1" applyFont="1" applyFill="1" applyBorder="1" applyAlignment="1">
      <alignment horizontal="center" vertical="center"/>
    </xf>
    <xf numFmtId="3" fontId="45" fillId="0" borderId="36" xfId="0" applyNumberFormat="1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3" fontId="33" fillId="0" borderId="37" xfId="0" applyNumberFormat="1" applyFont="1" applyFill="1" applyBorder="1" applyAlignment="1">
      <alignment horizontal="center" vertical="center" wrapText="1"/>
    </xf>
    <xf numFmtId="3" fontId="45" fillId="0" borderId="37" xfId="0" applyNumberFormat="1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3" fontId="45" fillId="0" borderId="38" xfId="0" applyNumberFormat="1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 wrapText="1"/>
    </xf>
    <xf numFmtId="3" fontId="33" fillId="0" borderId="39" xfId="0" applyNumberFormat="1" applyFont="1" applyFill="1" applyBorder="1" applyAlignment="1">
      <alignment horizontal="center" vertical="center" wrapText="1"/>
    </xf>
    <xf numFmtId="3" fontId="45" fillId="0" borderId="39" xfId="0" applyNumberFormat="1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3" fontId="45" fillId="0" borderId="40" xfId="0" applyNumberFormat="1" applyFont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 wrapText="1"/>
    </xf>
    <xf numFmtId="3" fontId="33" fillId="0" borderId="41" xfId="0" applyNumberFormat="1" applyFont="1" applyFill="1" applyBorder="1" applyAlignment="1">
      <alignment horizontal="center" vertical="center" wrapText="1"/>
    </xf>
    <xf numFmtId="3" fontId="45" fillId="0" borderId="41" xfId="0" applyNumberFormat="1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3" fontId="45" fillId="0" borderId="42" xfId="0" applyNumberFormat="1" applyFont="1" applyBorder="1" applyAlignment="1">
      <alignment horizontal="center" vertical="center"/>
    </xf>
    <xf numFmtId="0" fontId="33" fillId="0" borderId="43" xfId="0" applyFont="1" applyFill="1" applyBorder="1" applyAlignment="1">
      <alignment horizontal="left" vertical="center" wrapText="1"/>
    </xf>
    <xf numFmtId="3" fontId="47" fillId="25" borderId="14" xfId="0" applyNumberFormat="1" applyFont="1" applyFill="1" applyBorder="1" applyAlignment="1">
      <alignment horizontal="center" vertical="center" wrapText="1"/>
    </xf>
    <xf numFmtId="3" fontId="33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 wrapText="1"/>
    </xf>
    <xf numFmtId="3" fontId="33" fillId="0" borderId="45" xfId="0" applyNumberFormat="1" applyFont="1" applyFill="1" applyBorder="1" applyAlignment="1">
      <alignment horizontal="center" vertical="center" wrapText="1"/>
    </xf>
    <xf numFmtId="3" fontId="45" fillId="0" borderId="45" xfId="0" applyNumberFormat="1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3" fontId="45" fillId="0" borderId="46" xfId="0" applyNumberFormat="1" applyFont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right" vertical="center" wrapText="1"/>
    </xf>
    <xf numFmtId="0" fontId="33" fillId="0" borderId="50" xfId="0" applyFont="1" applyFill="1" applyBorder="1" applyAlignment="1">
      <alignment horizontal="center" vertical="center" wrapText="1"/>
    </xf>
    <xf numFmtId="3" fontId="33" fillId="0" borderId="50" xfId="0" applyNumberFormat="1" applyFont="1" applyFill="1" applyBorder="1" applyAlignment="1">
      <alignment horizontal="center" vertical="center" wrapText="1"/>
    </xf>
    <xf numFmtId="3" fontId="45" fillId="0" borderId="50" xfId="0" applyNumberFormat="1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3" fontId="45" fillId="0" borderId="51" xfId="0" applyNumberFormat="1" applyFont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 wrapText="1"/>
    </xf>
    <xf numFmtId="3" fontId="33" fillId="0" borderId="52" xfId="0" applyNumberFormat="1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3" fontId="45" fillId="0" borderId="53" xfId="0" applyNumberFormat="1" applyFont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 wrapText="1"/>
    </xf>
    <xf numFmtId="3" fontId="33" fillId="0" borderId="54" xfId="0" applyNumberFormat="1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3" fontId="45" fillId="0" borderId="55" xfId="0" applyNumberFormat="1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2" fontId="33" fillId="0" borderId="35" xfId="0" applyNumberFormat="1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0" fontId="33" fillId="0" borderId="23" xfId="0" applyFont="1" applyFill="1" applyBorder="1" applyAlignment="1">
      <alignment horizontal="left" vertical="center" wrapText="1"/>
    </xf>
    <xf numFmtId="3" fontId="33" fillId="0" borderId="23" xfId="0" applyNumberFormat="1" applyFont="1" applyBorder="1" applyAlignment="1">
      <alignment horizontal="center" vertical="center"/>
    </xf>
    <xf numFmtId="3" fontId="34" fillId="0" borderId="2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3" fontId="33" fillId="0" borderId="0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3" fontId="35" fillId="26" borderId="14" xfId="0" applyNumberFormat="1" applyFont="1" applyFill="1" applyBorder="1" applyAlignment="1">
      <alignment horizontal="center" vertical="center"/>
    </xf>
    <xf numFmtId="3" fontId="35" fillId="27" borderId="14" xfId="0" applyNumberFormat="1" applyFont="1" applyFill="1" applyBorder="1" applyAlignment="1">
      <alignment horizontal="center" vertical="center" wrapText="1"/>
    </xf>
    <xf numFmtId="4" fontId="35" fillId="0" borderId="14" xfId="0" applyNumberFormat="1" applyFont="1" applyFill="1" applyBorder="1" applyAlignment="1">
      <alignment horizontal="center" vertical="center" wrapText="1"/>
    </xf>
    <xf numFmtId="165" fontId="35" fillId="0" borderId="14" xfId="0" applyNumberFormat="1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5" fillId="0" borderId="26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56" xfId="0" applyNumberFormat="1" applyFont="1" applyBorder="1" applyAlignment="1">
      <alignment/>
    </xf>
    <xf numFmtId="1" fontId="21" fillId="0" borderId="45" xfId="0" applyNumberFormat="1" applyFont="1" applyBorder="1" applyAlignment="1">
      <alignment horizontal="center"/>
    </xf>
    <xf numFmtId="3" fontId="21" fillId="0" borderId="45" xfId="0" applyNumberFormat="1" applyFont="1" applyBorder="1" applyAlignment="1">
      <alignment horizontal="center" vertical="top" wrapText="1"/>
    </xf>
    <xf numFmtId="3" fontId="18" fillId="0" borderId="45" xfId="0" applyNumberFormat="1" applyFont="1" applyBorder="1" applyAlignment="1">
      <alignment horizontal="center" vertical="top" wrapText="1"/>
    </xf>
    <xf numFmtId="3" fontId="18" fillId="0" borderId="45" xfId="0" applyNumberFormat="1" applyFont="1" applyBorder="1" applyAlignment="1">
      <alignment/>
    </xf>
    <xf numFmtId="164" fontId="21" fillId="0" borderId="57" xfId="0" applyNumberFormat="1" applyFont="1" applyBorder="1" applyAlignment="1">
      <alignment/>
    </xf>
    <xf numFmtId="1" fontId="21" fillId="0" borderId="39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 horizontal="center" vertical="top" wrapText="1"/>
    </xf>
    <xf numFmtId="3" fontId="18" fillId="0" borderId="39" xfId="0" applyNumberFormat="1" applyFont="1" applyBorder="1" applyAlignment="1">
      <alignment horizontal="center" vertical="top" wrapText="1"/>
    </xf>
    <xf numFmtId="3" fontId="18" fillId="0" borderId="39" xfId="0" applyNumberFormat="1" applyFont="1" applyBorder="1" applyAlignment="1">
      <alignment/>
    </xf>
    <xf numFmtId="164" fontId="21" fillId="0" borderId="58" xfId="0" applyNumberFormat="1" applyFont="1" applyBorder="1" applyAlignment="1">
      <alignment/>
    </xf>
    <xf numFmtId="1" fontId="21" fillId="0" borderId="50" xfId="0" applyNumberFormat="1" applyFont="1" applyBorder="1" applyAlignment="1">
      <alignment horizontal="center"/>
    </xf>
    <xf numFmtId="3" fontId="21" fillId="0" borderId="50" xfId="0" applyNumberFormat="1" applyFont="1" applyBorder="1" applyAlignment="1">
      <alignment horizontal="center" vertical="top" wrapText="1"/>
    </xf>
    <xf numFmtId="3" fontId="18" fillId="0" borderId="50" xfId="0" applyNumberFormat="1" applyFont="1" applyBorder="1" applyAlignment="1">
      <alignment horizontal="center" vertical="top" wrapText="1"/>
    </xf>
    <xf numFmtId="3" fontId="18" fillId="0" borderId="50" xfId="0" applyNumberFormat="1" applyFont="1" applyBorder="1" applyAlignment="1">
      <alignment/>
    </xf>
    <xf numFmtId="164" fontId="21" fillId="22" borderId="57" xfId="0" applyNumberFormat="1" applyFont="1" applyFill="1" applyBorder="1" applyAlignment="1">
      <alignment/>
    </xf>
    <xf numFmtId="1" fontId="21" fillId="22" borderId="39" xfId="0" applyNumberFormat="1" applyFont="1" applyFill="1" applyBorder="1" applyAlignment="1">
      <alignment horizontal="center"/>
    </xf>
    <xf numFmtId="3" fontId="18" fillId="22" borderId="39" xfId="0" applyNumberFormat="1" applyFont="1" applyFill="1" applyBorder="1" applyAlignment="1">
      <alignment/>
    </xf>
    <xf numFmtId="164" fontId="21" fillId="22" borderId="58" xfId="0" applyNumberFormat="1" applyFont="1" applyFill="1" applyBorder="1" applyAlignment="1">
      <alignment/>
    </xf>
    <xf numFmtId="1" fontId="21" fillId="22" borderId="50" xfId="0" applyNumberFormat="1" applyFont="1" applyFill="1" applyBorder="1" applyAlignment="1">
      <alignment horizontal="center"/>
    </xf>
    <xf numFmtId="3" fontId="18" fillId="22" borderId="50" xfId="0" applyNumberFormat="1" applyFont="1" applyFill="1" applyBorder="1" applyAlignment="1">
      <alignment/>
    </xf>
    <xf numFmtId="164" fontId="21" fillId="22" borderId="59" xfId="0" applyNumberFormat="1" applyFont="1" applyFill="1" applyBorder="1" applyAlignment="1">
      <alignment/>
    </xf>
    <xf numFmtId="1" fontId="21" fillId="22" borderId="54" xfId="0" applyNumberFormat="1" applyFont="1" applyFill="1" applyBorder="1" applyAlignment="1">
      <alignment horizontal="center"/>
    </xf>
    <xf numFmtId="3" fontId="21" fillId="0" borderId="54" xfId="0" applyNumberFormat="1" applyFont="1" applyBorder="1" applyAlignment="1">
      <alignment horizontal="center" vertical="top" wrapText="1"/>
    </xf>
    <xf numFmtId="3" fontId="18" fillId="0" borderId="54" xfId="0" applyNumberFormat="1" applyFont="1" applyBorder="1" applyAlignment="1">
      <alignment horizontal="center" vertical="top" wrapText="1"/>
    </xf>
    <xf numFmtId="3" fontId="18" fillId="0" borderId="54" xfId="0" applyNumberFormat="1" applyFont="1" applyBorder="1" applyAlignment="1">
      <alignment/>
    </xf>
    <xf numFmtId="3" fontId="18" fillId="22" borderId="54" xfId="0" applyNumberFormat="1" applyFont="1" applyFill="1" applyBorder="1" applyAlignment="1">
      <alignment/>
    </xf>
    <xf numFmtId="164" fontId="21" fillId="22" borderId="56" xfId="0" applyNumberFormat="1" applyFont="1" applyFill="1" applyBorder="1" applyAlignment="1">
      <alignment/>
    </xf>
    <xf numFmtId="1" fontId="21" fillId="22" borderId="45" xfId="0" applyNumberFormat="1" applyFont="1" applyFill="1" applyBorder="1" applyAlignment="1">
      <alignment horizontal="center"/>
    </xf>
    <xf numFmtId="3" fontId="21" fillId="22" borderId="45" xfId="0" applyNumberFormat="1" applyFont="1" applyFill="1" applyBorder="1" applyAlignment="1">
      <alignment horizontal="center" vertical="top" wrapText="1"/>
    </xf>
    <xf numFmtId="3" fontId="18" fillId="22" borderId="45" xfId="0" applyNumberFormat="1" applyFont="1" applyFill="1" applyBorder="1" applyAlignment="1">
      <alignment/>
    </xf>
    <xf numFmtId="3" fontId="21" fillId="22" borderId="39" xfId="0" applyNumberFormat="1" applyFont="1" applyFill="1" applyBorder="1" applyAlignment="1">
      <alignment horizontal="center" vertical="top" wrapText="1"/>
    </xf>
    <xf numFmtId="3" fontId="21" fillId="22" borderId="50" xfId="0" applyNumberFormat="1" applyFont="1" applyFill="1" applyBorder="1" applyAlignment="1">
      <alignment horizontal="center" vertical="top" wrapText="1"/>
    </xf>
    <xf numFmtId="3" fontId="18" fillId="22" borderId="45" xfId="0" applyNumberFormat="1" applyFont="1" applyFill="1" applyBorder="1" applyAlignment="1">
      <alignment horizontal="center" vertical="top" wrapText="1"/>
    </xf>
    <xf numFmtId="3" fontId="18" fillId="22" borderId="39" xfId="0" applyNumberFormat="1" applyFont="1" applyFill="1" applyBorder="1" applyAlignment="1">
      <alignment horizontal="center" vertical="top" wrapText="1"/>
    </xf>
    <xf numFmtId="3" fontId="18" fillId="22" borderId="50" xfId="0" applyNumberFormat="1" applyFont="1" applyFill="1" applyBorder="1" applyAlignment="1">
      <alignment horizontal="center" vertical="top" wrapText="1"/>
    </xf>
    <xf numFmtId="3" fontId="21" fillId="22" borderId="54" xfId="0" applyNumberFormat="1" applyFont="1" applyFill="1" applyBorder="1" applyAlignment="1">
      <alignment horizontal="center" vertical="top" wrapText="1"/>
    </xf>
    <xf numFmtId="3" fontId="18" fillId="22" borderId="54" xfId="0" applyNumberFormat="1" applyFont="1" applyFill="1" applyBorder="1" applyAlignment="1">
      <alignment horizontal="center" vertical="top" wrapText="1"/>
    </xf>
    <xf numFmtId="3" fontId="20" fillId="0" borderId="60" xfId="0" applyNumberFormat="1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3" fontId="18" fillId="0" borderId="63" xfId="0" applyNumberFormat="1" applyFont="1" applyBorder="1" applyAlignment="1">
      <alignment/>
    </xf>
    <xf numFmtId="3" fontId="18" fillId="0" borderId="64" xfId="0" applyNumberFormat="1" applyFont="1" applyBorder="1" applyAlignment="1">
      <alignment/>
    </xf>
    <xf numFmtId="3" fontId="18" fillId="22" borderId="63" xfId="0" applyNumberFormat="1" applyFont="1" applyFill="1" applyBorder="1" applyAlignment="1">
      <alignment/>
    </xf>
    <xf numFmtId="3" fontId="18" fillId="22" borderId="64" xfId="0" applyNumberFormat="1" applyFont="1" applyFill="1" applyBorder="1" applyAlignment="1">
      <alignment/>
    </xf>
    <xf numFmtId="3" fontId="18" fillId="22" borderId="62" xfId="0" applyNumberFormat="1" applyFont="1" applyFill="1" applyBorder="1" applyAlignment="1">
      <alignment/>
    </xf>
    <xf numFmtId="3" fontId="18" fillId="22" borderId="65" xfId="0" applyNumberFormat="1" applyFont="1" applyFill="1" applyBorder="1" applyAlignment="1">
      <alignment/>
    </xf>
    <xf numFmtId="0" fontId="0" fillId="0" borderId="66" xfId="0" applyBorder="1" applyAlignment="1">
      <alignment/>
    </xf>
    <xf numFmtId="3" fontId="0" fillId="0" borderId="66" xfId="0" applyNumberFormat="1" applyBorder="1" applyAlignment="1">
      <alignment/>
    </xf>
    <xf numFmtId="0" fontId="18" fillId="0" borderId="66" xfId="0" applyFont="1" applyBorder="1" applyAlignment="1">
      <alignment/>
    </xf>
    <xf numFmtId="0" fontId="0" fillId="22" borderId="66" xfId="0" applyNumberFormat="1" applyFill="1" applyBorder="1" applyAlignment="1">
      <alignment/>
    </xf>
    <xf numFmtId="0" fontId="0" fillId="22" borderId="66" xfId="0" applyFill="1" applyBorder="1" applyAlignment="1">
      <alignment/>
    </xf>
    <xf numFmtId="3" fontId="0" fillId="22" borderId="66" xfId="0" applyNumberFormat="1" applyFill="1" applyBorder="1" applyAlignment="1">
      <alignment/>
    </xf>
    <xf numFmtId="0" fontId="0" fillId="0" borderId="66" xfId="0" applyNumberForma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0" fillId="0" borderId="67" xfId="0" applyBorder="1" applyAlignment="1">
      <alignment/>
    </xf>
    <xf numFmtId="3" fontId="21" fillId="0" borderId="50" xfId="0" applyNumberFormat="1" applyFont="1" applyBorder="1" applyAlignment="1">
      <alignment/>
    </xf>
    <xf numFmtId="3" fontId="21" fillId="22" borderId="39" xfId="0" applyNumberFormat="1" applyFont="1" applyFill="1" applyBorder="1" applyAlignment="1">
      <alignment/>
    </xf>
    <xf numFmtId="3" fontId="21" fillId="22" borderId="50" xfId="0" applyNumberFormat="1" applyFont="1" applyFill="1" applyBorder="1" applyAlignment="1">
      <alignment/>
    </xf>
    <xf numFmtId="3" fontId="21" fillId="0" borderId="54" xfId="0" applyNumberFormat="1" applyFont="1" applyBorder="1" applyAlignment="1">
      <alignment/>
    </xf>
    <xf numFmtId="3" fontId="21" fillId="22" borderId="54" xfId="0" applyNumberFormat="1" applyFont="1" applyFill="1" applyBorder="1" applyAlignment="1">
      <alignment/>
    </xf>
    <xf numFmtId="3" fontId="21" fillId="22" borderId="45" xfId="0" applyNumberFormat="1" applyFont="1" applyFill="1" applyBorder="1" applyAlignment="1">
      <alignment/>
    </xf>
    <xf numFmtId="164" fontId="21" fillId="0" borderId="59" xfId="0" applyNumberFormat="1" applyFont="1" applyBorder="1" applyAlignment="1">
      <alignment/>
    </xf>
    <xf numFmtId="1" fontId="21" fillId="0" borderId="54" xfId="0" applyNumberFormat="1" applyFont="1" applyBorder="1" applyAlignment="1">
      <alignment horizontal="center"/>
    </xf>
    <xf numFmtId="0" fontId="0" fillId="0" borderId="68" xfId="0" applyFill="1" applyBorder="1" applyAlignment="1">
      <alignment/>
    </xf>
    <xf numFmtId="3" fontId="19" fillId="28" borderId="66" xfId="0" applyNumberFormat="1" applyFont="1" applyFill="1" applyBorder="1" applyAlignment="1">
      <alignment horizontal="center" vertical="top" wrapText="1"/>
    </xf>
    <xf numFmtId="3" fontId="0" fillId="28" borderId="66" xfId="0" applyNumberFormat="1" applyFill="1" applyBorder="1" applyAlignment="1">
      <alignment/>
    </xf>
    <xf numFmtId="0" fontId="0" fillId="28" borderId="69" xfId="0" applyFill="1" applyBorder="1" applyAlignment="1">
      <alignment/>
    </xf>
    <xf numFmtId="0" fontId="18" fillId="28" borderId="70" xfId="0" applyFont="1" applyFill="1" applyBorder="1" applyAlignment="1">
      <alignment/>
    </xf>
    <xf numFmtId="0" fontId="0" fillId="28" borderId="71" xfId="0" applyFill="1" applyBorder="1" applyAlignment="1">
      <alignment/>
    </xf>
    <xf numFmtId="3" fontId="0" fillId="28" borderId="72" xfId="0" applyNumberFormat="1" applyFill="1" applyBorder="1" applyAlignment="1">
      <alignment/>
    </xf>
    <xf numFmtId="3" fontId="0" fillId="28" borderId="70" xfId="0" applyNumberFormat="1" applyFill="1" applyBorder="1" applyAlignment="1">
      <alignment/>
    </xf>
    <xf numFmtId="3" fontId="0" fillId="28" borderId="71" xfId="0" applyNumberFormat="1" applyFill="1" applyBorder="1" applyAlignment="1">
      <alignment/>
    </xf>
    <xf numFmtId="3" fontId="0" fillId="28" borderId="73" xfId="0" applyNumberFormat="1" applyFill="1" applyBorder="1" applyAlignment="1">
      <alignment/>
    </xf>
    <xf numFmtId="0" fontId="0" fillId="28" borderId="74" xfId="0" applyFill="1" applyBorder="1" applyAlignment="1">
      <alignment/>
    </xf>
    <xf numFmtId="0" fontId="0" fillId="28" borderId="75" xfId="0" applyFill="1" applyBorder="1" applyAlignment="1">
      <alignment/>
    </xf>
    <xf numFmtId="0" fontId="0" fillId="28" borderId="66" xfId="0" applyFill="1" applyBorder="1" applyAlignment="1">
      <alignment/>
    </xf>
    <xf numFmtId="0" fontId="18" fillId="28" borderId="66" xfId="0" applyFont="1" applyFill="1" applyBorder="1" applyAlignment="1">
      <alignment/>
    </xf>
    <xf numFmtId="3" fontId="0" fillId="28" borderId="0" xfId="0" applyNumberFormat="1" applyFill="1" applyAlignment="1">
      <alignment/>
    </xf>
    <xf numFmtId="3" fontId="28" fillId="28" borderId="0" xfId="0" applyNumberFormat="1" applyFont="1" applyFill="1" applyAlignment="1">
      <alignment/>
    </xf>
    <xf numFmtId="3" fontId="19" fillId="0" borderId="60" xfId="0" applyNumberFormat="1" applyFont="1" applyBorder="1" applyAlignment="1">
      <alignment horizontal="center" vertical="top" wrapText="1"/>
    </xf>
    <xf numFmtId="3" fontId="21" fillId="0" borderId="19" xfId="0" applyNumberFormat="1" applyFont="1" applyBorder="1" applyAlignment="1">
      <alignment/>
    </xf>
    <xf numFmtId="3" fontId="21" fillId="0" borderId="61" xfId="0" applyNumberFormat="1" applyFont="1" applyBorder="1" applyAlignment="1">
      <alignment/>
    </xf>
    <xf numFmtId="3" fontId="21" fillId="0" borderId="62" xfId="0" applyNumberFormat="1" applyFont="1" applyBorder="1" applyAlignment="1">
      <alignment/>
    </xf>
    <xf numFmtId="3" fontId="21" fillId="0" borderId="63" xfId="0" applyNumberFormat="1" applyFont="1" applyBorder="1" applyAlignment="1">
      <alignment/>
    </xf>
    <xf numFmtId="3" fontId="21" fillId="0" borderId="64" xfId="0" applyNumberFormat="1" applyFont="1" applyBorder="1" applyAlignment="1">
      <alignment/>
    </xf>
    <xf numFmtId="3" fontId="21" fillId="22" borderId="63" xfId="0" applyNumberFormat="1" applyFont="1" applyFill="1" applyBorder="1" applyAlignment="1">
      <alignment/>
    </xf>
    <xf numFmtId="3" fontId="21" fillId="22" borderId="65" xfId="0" applyNumberFormat="1" applyFont="1" applyFill="1" applyBorder="1" applyAlignment="1">
      <alignment/>
    </xf>
    <xf numFmtId="3" fontId="21" fillId="22" borderId="62" xfId="0" applyNumberFormat="1" applyFont="1" applyFill="1" applyBorder="1" applyAlignment="1">
      <alignment/>
    </xf>
    <xf numFmtId="3" fontId="21" fillId="22" borderId="64" xfId="0" applyNumberFormat="1" applyFont="1" applyFill="1" applyBorder="1" applyAlignment="1">
      <alignment/>
    </xf>
    <xf numFmtId="3" fontId="21" fillId="0" borderId="65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 horizontal="center" vertical="top" wrapText="1"/>
    </xf>
    <xf numFmtId="3" fontId="19" fillId="0" borderId="76" xfId="0" applyNumberFormat="1" applyFont="1" applyFill="1" applyBorder="1" applyAlignment="1">
      <alignment horizontal="center" vertical="top" wrapText="1"/>
    </xf>
    <xf numFmtId="3" fontId="21" fillId="0" borderId="14" xfId="0" applyNumberFormat="1" applyFont="1" applyFill="1" applyBorder="1" applyAlignment="1">
      <alignment/>
    </xf>
    <xf numFmtId="3" fontId="21" fillId="0" borderId="7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76" xfId="0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76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76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77" xfId="0" applyFill="1" applyBorder="1" applyAlignment="1">
      <alignment/>
    </xf>
    <xf numFmtId="0" fontId="48" fillId="0" borderId="78" xfId="0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right" vertical="center" wrapText="1"/>
    </xf>
    <xf numFmtId="3" fontId="35" fillId="29" borderId="14" xfId="0" applyNumberFormat="1" applyFont="1" applyFill="1" applyBorder="1" applyAlignment="1">
      <alignment horizontal="center" vertical="center" wrapText="1"/>
    </xf>
    <xf numFmtId="0" fontId="34" fillId="29" borderId="13" xfId="0" applyFont="1" applyFill="1" applyBorder="1" applyAlignment="1">
      <alignment horizontal="center" vertical="center"/>
    </xf>
    <xf numFmtId="0" fontId="35" fillId="29" borderId="14" xfId="0" applyFont="1" applyFill="1" applyBorder="1" applyAlignment="1">
      <alignment horizontal="center" vertical="center" wrapText="1"/>
    </xf>
    <xf numFmtId="0" fontId="38" fillId="29" borderId="14" xfId="0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47" fillId="30" borderId="36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0" fontId="35" fillId="25" borderId="14" xfId="0" applyFont="1" applyFill="1" applyBorder="1" applyAlignment="1">
      <alignment horizontal="center" vertical="center" wrapText="1"/>
    </xf>
    <xf numFmtId="3" fontId="0" fillId="0" borderId="68" xfId="0" applyNumberFormat="1" applyFill="1" applyBorder="1" applyAlignment="1">
      <alignment/>
    </xf>
    <xf numFmtId="0" fontId="34" fillId="4" borderId="35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4" fillId="29" borderId="35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top" wrapText="1"/>
    </xf>
    <xf numFmtId="0" fontId="34" fillId="22" borderId="2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3" fontId="45" fillId="0" borderId="16" xfId="0" applyNumberFormat="1" applyFont="1" applyFill="1" applyBorder="1" applyAlignment="1">
      <alignment horizontal="center" vertical="center" wrapText="1"/>
    </xf>
    <xf numFmtId="3" fontId="45" fillId="0" borderId="79" xfId="0" applyNumberFormat="1" applyFont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 wrapText="1"/>
    </xf>
    <xf numFmtId="0" fontId="46" fillId="31" borderId="14" xfId="0" applyFont="1" applyFill="1" applyBorder="1" applyAlignment="1">
      <alignment horizontal="center" vertical="center" wrapText="1"/>
    </xf>
    <xf numFmtId="3" fontId="47" fillId="32" borderId="36" xfId="0" applyNumberFormat="1" applyFont="1" applyFill="1" applyBorder="1" applyAlignment="1">
      <alignment horizontal="center" vertical="center"/>
    </xf>
    <xf numFmtId="3" fontId="33" fillId="0" borderId="33" xfId="0" applyNumberFormat="1" applyFont="1" applyFill="1" applyBorder="1" applyAlignment="1">
      <alignment horizontal="center" vertical="center" wrapText="1"/>
    </xf>
    <xf numFmtId="3" fontId="45" fillId="0" borderId="33" xfId="0" applyNumberFormat="1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32" xfId="0" applyFont="1" applyFill="1" applyBorder="1" applyAlignment="1">
      <alignment horizontal="left" vertical="center" wrapText="1"/>
    </xf>
    <xf numFmtId="0" fontId="42" fillId="0" borderId="80" xfId="0" applyFont="1" applyFill="1" applyBorder="1" applyAlignment="1">
      <alignment horizontal="left" vertical="center" wrapText="1"/>
    </xf>
    <xf numFmtId="0" fontId="42" fillId="0" borderId="66" xfId="0" applyFont="1" applyBorder="1" applyAlignment="1">
      <alignment vertical="center" wrapText="1"/>
    </xf>
    <xf numFmtId="0" fontId="42" fillId="0" borderId="69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9" fillId="0" borderId="35" xfId="0" applyFont="1" applyBorder="1" applyAlignment="1">
      <alignment horizontal="left" vertical="center" wrapText="1"/>
    </xf>
    <xf numFmtId="0" fontId="33" fillId="0" borderId="66" xfId="0" applyFont="1" applyBorder="1" applyAlignment="1">
      <alignment vertical="center" wrapText="1"/>
    </xf>
    <xf numFmtId="0" fontId="33" fillId="0" borderId="35" xfId="0" applyFont="1" applyBorder="1" applyAlignment="1">
      <alignment horizontal="left" vertical="center" wrapText="1"/>
    </xf>
    <xf numFmtId="0" fontId="35" fillId="25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 quotePrefix="1">
      <alignment horizontal="center" vertical="center" wrapText="1"/>
    </xf>
    <xf numFmtId="2" fontId="33" fillId="0" borderId="43" xfId="0" applyNumberFormat="1" applyFont="1" applyFill="1" applyBorder="1" applyAlignment="1">
      <alignment horizontal="left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3" fontId="50" fillId="33" borderId="16" xfId="0" applyNumberFormat="1" applyFont="1" applyFill="1" applyBorder="1" applyAlignment="1">
      <alignment horizontal="center" vertical="center" wrapText="1"/>
    </xf>
    <xf numFmtId="0" fontId="34" fillId="25" borderId="13" xfId="0" applyFont="1" applyFill="1" applyBorder="1" applyAlignment="1">
      <alignment horizontal="center" vertical="center"/>
    </xf>
    <xf numFmtId="2" fontId="51" fillId="25" borderId="35" xfId="0" applyNumberFormat="1" applyFont="1" applyFill="1" applyBorder="1" applyAlignment="1">
      <alignment horizontal="left" vertical="center" wrapText="1"/>
    </xf>
    <xf numFmtId="3" fontId="35" fillId="25" borderId="14" xfId="0" applyNumberFormat="1" applyFont="1" applyFill="1" applyBorder="1" applyAlignment="1">
      <alignment horizontal="center" vertical="center" wrapText="1"/>
    </xf>
    <xf numFmtId="166" fontId="34" fillId="25" borderId="13" xfId="0" applyNumberFormat="1" applyFont="1" applyFill="1" applyBorder="1" applyAlignment="1">
      <alignment horizontal="center" vertical="center"/>
    </xf>
    <xf numFmtId="0" fontId="35" fillId="25" borderId="35" xfId="0" applyFont="1" applyFill="1" applyBorder="1" applyAlignment="1">
      <alignment horizontal="left" vertical="center" wrapText="1"/>
    </xf>
    <xf numFmtId="166" fontId="50" fillId="25" borderId="13" xfId="0" applyNumberFormat="1" applyFont="1" applyFill="1" applyBorder="1" applyAlignment="1">
      <alignment horizontal="center" vertical="center"/>
    </xf>
    <xf numFmtId="0" fontId="47" fillId="25" borderId="35" xfId="0" applyFont="1" applyFill="1" applyBorder="1" applyAlignment="1">
      <alignment horizontal="left" vertical="center" wrapText="1"/>
    </xf>
    <xf numFmtId="0" fontId="35" fillId="25" borderId="0" xfId="0" applyFont="1" applyFill="1" applyBorder="1" applyAlignment="1">
      <alignment horizontal="center" vertical="center" wrapText="1"/>
    </xf>
    <xf numFmtId="3" fontId="50" fillId="25" borderId="14" xfId="0" applyNumberFormat="1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horizontal="center" vertical="center"/>
    </xf>
    <xf numFmtId="2" fontId="47" fillId="25" borderId="35" xfId="0" applyNumberFormat="1" applyFont="1" applyFill="1" applyBorder="1" applyAlignment="1">
      <alignment horizontal="left" vertical="center" wrapText="1"/>
    </xf>
    <xf numFmtId="0" fontId="35" fillId="25" borderId="16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69" xfId="0" applyFont="1" applyBorder="1" applyAlignment="1">
      <alignment vertical="center" wrapText="1"/>
    </xf>
    <xf numFmtId="0" fontId="33" fillId="34" borderId="23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vertical="center" wrapText="1"/>
    </xf>
    <xf numFmtId="0" fontId="33" fillId="34" borderId="23" xfId="0" applyFont="1" applyFill="1" applyBorder="1" applyAlignment="1">
      <alignment horizontal="center" vertical="center" wrapText="1"/>
    </xf>
    <xf numFmtId="3" fontId="33" fillId="34" borderId="23" xfId="0" applyNumberFormat="1" applyFont="1" applyFill="1" applyBorder="1" applyAlignment="1">
      <alignment horizontal="center" vertical="center" wrapText="1"/>
    </xf>
    <xf numFmtId="3" fontId="45" fillId="34" borderId="23" xfId="0" applyNumberFormat="1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3" fontId="45" fillId="34" borderId="23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left" vertical="center" wrapText="1"/>
    </xf>
    <xf numFmtId="0" fontId="33" fillId="0" borderId="18" xfId="0" applyFont="1" applyFill="1" applyBorder="1" applyAlignment="1">
      <alignment horizontal="center" vertical="center" wrapText="1"/>
    </xf>
    <xf numFmtId="3" fontId="33" fillId="0" borderId="18" xfId="0" applyNumberFormat="1" applyFont="1" applyFill="1" applyBorder="1" applyAlignment="1">
      <alignment horizontal="center" vertical="center" wrapText="1"/>
    </xf>
    <xf numFmtId="3" fontId="45" fillId="0" borderId="18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vertical="center" wrapText="1"/>
    </xf>
    <xf numFmtId="0" fontId="33" fillId="34" borderId="0" xfId="0" applyFont="1" applyFill="1" applyBorder="1" applyAlignment="1">
      <alignment horizontal="center" vertical="center" wrapText="1"/>
    </xf>
    <xf numFmtId="3" fontId="33" fillId="34" borderId="0" xfId="0" applyNumberFormat="1" applyFont="1" applyFill="1" applyBorder="1" applyAlignment="1">
      <alignment horizontal="center" vertical="center" wrapText="1"/>
    </xf>
    <xf numFmtId="3" fontId="45" fillId="34" borderId="0" xfId="0" applyNumberFormat="1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3" fontId="45" fillId="34" borderId="0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3" fontId="34" fillId="34" borderId="30" xfId="0" applyNumberFormat="1" applyFont="1" applyFill="1" applyBorder="1" applyAlignment="1">
      <alignment horizontal="center" vertical="center"/>
    </xf>
    <xf numFmtId="3" fontId="33" fillId="34" borderId="14" xfId="0" applyNumberFormat="1" applyFont="1" applyFill="1" applyBorder="1" applyAlignment="1">
      <alignment horizontal="center" vertical="center"/>
    </xf>
    <xf numFmtId="4" fontId="33" fillId="34" borderId="14" xfId="0" applyNumberFormat="1" applyFont="1" applyFill="1" applyBorder="1" applyAlignment="1">
      <alignment horizontal="center" vertical="center"/>
    </xf>
    <xf numFmtId="3" fontId="34" fillId="34" borderId="14" xfId="0" applyNumberFormat="1" applyFont="1" applyFill="1" applyBorder="1" applyAlignment="1">
      <alignment horizontal="center" vertical="center"/>
    </xf>
    <xf numFmtId="165" fontId="33" fillId="26" borderId="14" xfId="0" applyNumberFormat="1" applyFont="1" applyFill="1" applyBorder="1" applyAlignment="1">
      <alignment horizontal="center" vertical="center"/>
    </xf>
    <xf numFmtId="0" fontId="35" fillId="26" borderId="26" xfId="0" applyNumberFormat="1" applyFont="1" applyFill="1" applyBorder="1" applyAlignment="1">
      <alignment horizontal="center" vertical="center"/>
    </xf>
    <xf numFmtId="4" fontId="33" fillId="26" borderId="26" xfId="0" applyNumberFormat="1" applyFont="1" applyFill="1" applyBorder="1" applyAlignment="1">
      <alignment horizontal="center" vertical="center"/>
    </xf>
    <xf numFmtId="0" fontId="35" fillId="35" borderId="26" xfId="0" applyNumberFormat="1" applyFont="1" applyFill="1" applyBorder="1" applyAlignment="1">
      <alignment horizontal="center" vertical="center"/>
    </xf>
    <xf numFmtId="3" fontId="34" fillId="36" borderId="30" xfId="0" applyNumberFormat="1" applyFont="1" applyFill="1" applyBorder="1" applyAlignment="1">
      <alignment horizontal="center" vertical="center"/>
    </xf>
    <xf numFmtId="3" fontId="33" fillId="36" borderId="14" xfId="0" applyNumberFormat="1" applyFont="1" applyFill="1" applyBorder="1" applyAlignment="1">
      <alignment horizontal="center" vertical="center"/>
    </xf>
    <xf numFmtId="165" fontId="33" fillId="35" borderId="14" xfId="0" applyNumberFormat="1" applyFont="1" applyFill="1" applyBorder="1" applyAlignment="1">
      <alignment horizontal="center" vertical="center"/>
    </xf>
    <xf numFmtId="4" fontId="33" fillId="36" borderId="14" xfId="0" applyNumberFormat="1" applyFont="1" applyFill="1" applyBorder="1" applyAlignment="1">
      <alignment horizontal="center" vertical="center"/>
    </xf>
    <xf numFmtId="3" fontId="34" fillId="36" borderId="14" xfId="0" applyNumberFormat="1" applyFont="1" applyFill="1" applyBorder="1" applyAlignment="1">
      <alignment horizontal="center" vertical="center"/>
    </xf>
    <xf numFmtId="4" fontId="33" fillId="35" borderId="26" xfId="0" applyNumberFormat="1" applyFont="1" applyFill="1" applyBorder="1" applyAlignment="1">
      <alignment horizontal="center" vertical="center"/>
    </xf>
    <xf numFmtId="3" fontId="45" fillId="37" borderId="14" xfId="0" applyNumberFormat="1" applyFont="1" applyFill="1" applyBorder="1" applyAlignment="1">
      <alignment horizontal="center" vertical="center" wrapText="1"/>
    </xf>
    <xf numFmtId="3" fontId="45" fillId="37" borderId="36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165" fontId="35" fillId="24" borderId="14" xfId="0" applyNumberFormat="1" applyFont="1" applyFill="1" applyBorder="1" applyAlignment="1">
      <alignment horizontal="center" vertical="center" wrapText="1"/>
    </xf>
    <xf numFmtId="0" fontId="38" fillId="0" borderId="81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3" fontId="34" fillId="0" borderId="14" xfId="0" applyNumberFormat="1" applyFont="1" applyFill="1" applyBorder="1" applyAlignment="1">
      <alignment horizontal="center" vertical="center"/>
    </xf>
    <xf numFmtId="3" fontId="35" fillId="34" borderId="19" xfId="0" applyNumberFormat="1" applyFont="1" applyFill="1" applyBorder="1" applyAlignment="1">
      <alignment horizontal="center" vertical="center"/>
    </xf>
    <xf numFmtId="3" fontId="38" fillId="34" borderId="19" xfId="0" applyNumberFormat="1" applyFont="1" applyFill="1" applyBorder="1" applyAlignment="1">
      <alignment horizontal="center" vertical="center"/>
    </xf>
    <xf numFmtId="3" fontId="35" fillId="27" borderId="19" xfId="0" applyNumberFormat="1" applyFont="1" applyFill="1" applyBorder="1" applyAlignment="1">
      <alignment horizontal="center" vertical="center" wrapText="1"/>
    </xf>
    <xf numFmtId="3" fontId="35" fillId="34" borderId="19" xfId="0" applyNumberFormat="1" applyFont="1" applyFill="1" applyBorder="1" applyAlignment="1">
      <alignment horizontal="center" vertical="center" wrapText="1"/>
    </xf>
    <xf numFmtId="4" fontId="35" fillId="34" borderId="19" xfId="0" applyNumberFormat="1" applyFont="1" applyFill="1" applyBorder="1" applyAlignment="1">
      <alignment horizontal="center" vertical="center" wrapText="1"/>
    </xf>
    <xf numFmtId="165" fontId="35" fillId="34" borderId="19" xfId="0" applyNumberFormat="1" applyFont="1" applyFill="1" applyBorder="1" applyAlignment="1">
      <alignment horizontal="center" vertical="center" wrapText="1"/>
    </xf>
    <xf numFmtId="3" fontId="35" fillId="34" borderId="82" xfId="0" applyNumberFormat="1" applyFont="1" applyFill="1" applyBorder="1" applyAlignment="1">
      <alignment horizontal="center" vertical="center" wrapText="1"/>
    </xf>
    <xf numFmtId="3" fontId="35" fillId="0" borderId="35" xfId="0" applyNumberFormat="1" applyFont="1" applyBorder="1" applyAlignment="1">
      <alignment horizontal="center" vertical="center"/>
    </xf>
    <xf numFmtId="3" fontId="35" fillId="22" borderId="35" xfId="0" applyNumberFormat="1" applyFont="1" applyFill="1" applyBorder="1" applyAlignment="1">
      <alignment horizontal="center" vertical="center" wrapText="1"/>
    </xf>
    <xf numFmtId="3" fontId="35" fillId="0" borderId="35" xfId="0" applyNumberFormat="1" applyFont="1" applyFill="1" applyBorder="1" applyAlignment="1">
      <alignment horizontal="center" vertical="center" wrapText="1"/>
    </xf>
    <xf numFmtId="3" fontId="35" fillId="0" borderId="35" xfId="0" applyNumberFormat="1" applyFont="1" applyFill="1" applyBorder="1" applyAlignment="1">
      <alignment horizontal="center" vertical="center"/>
    </xf>
    <xf numFmtId="4" fontId="35" fillId="0" borderId="35" xfId="0" applyNumberFormat="1" applyFont="1" applyFill="1" applyBorder="1" applyAlignment="1">
      <alignment horizontal="center" vertical="center" wrapText="1"/>
    </xf>
    <xf numFmtId="165" fontId="35" fillId="0" borderId="35" xfId="0" applyNumberFormat="1" applyFont="1" applyFill="1" applyBorder="1" applyAlignment="1">
      <alignment horizontal="center" vertical="center" wrapText="1"/>
    </xf>
    <xf numFmtId="3" fontId="35" fillId="0" borderId="35" xfId="0" applyNumberFormat="1" applyFont="1" applyBorder="1" applyAlignment="1">
      <alignment horizontal="center" vertical="center" wrapText="1"/>
    </xf>
    <xf numFmtId="3" fontId="38" fillId="0" borderId="35" xfId="0" applyNumberFormat="1" applyFont="1" applyBorder="1" applyAlignment="1">
      <alignment horizontal="center" vertical="center" wrapText="1"/>
    </xf>
    <xf numFmtId="3" fontId="35" fillId="0" borderId="83" xfId="0" applyNumberFormat="1" applyFont="1" applyBorder="1" applyAlignment="1">
      <alignment horizontal="center" vertical="center" wrapText="1"/>
    </xf>
    <xf numFmtId="3" fontId="35" fillId="36" borderId="21" xfId="0" applyNumberFormat="1" applyFont="1" applyFill="1" applyBorder="1" applyAlignment="1">
      <alignment horizontal="center" vertical="center"/>
    </xf>
    <xf numFmtId="3" fontId="38" fillId="36" borderId="21" xfId="0" applyNumberFormat="1" applyFont="1" applyFill="1" applyBorder="1" applyAlignment="1">
      <alignment horizontal="center" vertical="center"/>
    </xf>
    <xf numFmtId="3" fontId="35" fillId="35" borderId="21" xfId="0" applyNumberFormat="1" applyFont="1" applyFill="1" applyBorder="1" applyAlignment="1">
      <alignment horizontal="center" vertical="center" wrapText="1"/>
    </xf>
    <xf numFmtId="3" fontId="35" fillId="36" borderId="21" xfId="0" applyNumberFormat="1" applyFont="1" applyFill="1" applyBorder="1" applyAlignment="1">
      <alignment horizontal="center" vertical="center" wrapText="1"/>
    </xf>
    <xf numFmtId="4" fontId="35" fillId="36" borderId="21" xfId="0" applyNumberFormat="1" applyFont="1" applyFill="1" applyBorder="1" applyAlignment="1">
      <alignment horizontal="center" vertical="center" wrapText="1"/>
    </xf>
    <xf numFmtId="165" fontId="35" fillId="36" borderId="21" xfId="0" applyNumberFormat="1" applyFont="1" applyFill="1" applyBorder="1" applyAlignment="1">
      <alignment horizontal="center" vertical="center" wrapText="1"/>
    </xf>
    <xf numFmtId="3" fontId="38" fillId="36" borderId="21" xfId="0" applyNumberFormat="1" applyFont="1" applyFill="1" applyBorder="1" applyAlignment="1">
      <alignment horizontal="center" vertical="center" wrapText="1"/>
    </xf>
    <xf numFmtId="3" fontId="35" fillId="36" borderId="84" xfId="0" applyNumberFormat="1" applyFont="1" applyFill="1" applyBorder="1" applyAlignment="1">
      <alignment horizontal="center" vertical="center" wrapText="1"/>
    </xf>
    <xf numFmtId="3" fontId="38" fillId="34" borderId="19" xfId="0" applyNumberFormat="1" applyFont="1" applyFill="1" applyBorder="1" applyAlignment="1">
      <alignment horizontal="center" vertical="center" wrapText="1"/>
    </xf>
    <xf numFmtId="3" fontId="38" fillId="0" borderId="35" xfId="0" applyNumberFormat="1" applyFont="1" applyBorder="1" applyAlignment="1">
      <alignment horizontal="center" vertical="center"/>
    </xf>
    <xf numFmtId="3" fontId="38" fillId="0" borderId="35" xfId="0" applyNumberFormat="1" applyFont="1" applyFill="1" applyBorder="1" applyAlignment="1">
      <alignment horizontal="center" vertical="center"/>
    </xf>
    <xf numFmtId="3" fontId="38" fillId="0" borderId="35" xfId="0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right" vertical="center" wrapText="1"/>
    </xf>
    <xf numFmtId="0" fontId="33" fillId="0" borderId="85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86" xfId="0" applyFont="1" applyBorder="1" applyAlignment="1">
      <alignment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87" xfId="0" applyFont="1" applyBorder="1" applyAlignment="1">
      <alignment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76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3" fontId="45" fillId="34" borderId="14" xfId="0" applyNumberFormat="1" applyFont="1" applyFill="1" applyBorder="1" applyAlignment="1">
      <alignment horizontal="center" vertical="center" wrapText="1"/>
    </xf>
    <xf numFmtId="3" fontId="33" fillId="34" borderId="14" xfId="0" applyNumberFormat="1" applyFont="1" applyFill="1" applyBorder="1" applyAlignment="1">
      <alignment horizontal="center" vertical="center" wrapText="1"/>
    </xf>
    <xf numFmtId="0" fontId="33" fillId="0" borderId="78" xfId="0" applyFont="1" applyFill="1" applyBorder="1" applyAlignment="1">
      <alignment horizontal="right" vertical="center" wrapText="1"/>
    </xf>
    <xf numFmtId="0" fontId="33" fillId="0" borderId="14" xfId="0" applyFont="1" applyFill="1" applyBorder="1" applyAlignment="1">
      <alignment horizontal="center" vertical="center" wrapText="1"/>
    </xf>
    <xf numFmtId="3" fontId="46" fillId="31" borderId="14" xfId="0" applyNumberFormat="1" applyFont="1" applyFill="1" applyBorder="1" applyAlignment="1">
      <alignment horizontal="center" vertical="center" wrapText="1"/>
    </xf>
    <xf numFmtId="4" fontId="35" fillId="36" borderId="14" xfId="0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2" fillId="0" borderId="35" xfId="0" applyFont="1" applyBorder="1" applyAlignment="1">
      <alignment horizontal="left"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0" fontId="33" fillId="34" borderId="14" xfId="0" applyFont="1" applyFill="1" applyBorder="1" applyAlignment="1">
      <alignment horizontal="center" vertical="center" wrapText="1"/>
    </xf>
    <xf numFmtId="0" fontId="0" fillId="0" borderId="88" xfId="0" applyFill="1" applyBorder="1" applyAlignment="1">
      <alignment/>
    </xf>
    <xf numFmtId="3" fontId="35" fillId="0" borderId="88" xfId="0" applyNumberFormat="1" applyFont="1" applyFill="1" applyBorder="1" applyAlignment="1">
      <alignment horizontal="center" vertical="center" wrapText="1"/>
    </xf>
    <xf numFmtId="3" fontId="23" fillId="0" borderId="88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52" fillId="0" borderId="81" xfId="0" applyFont="1" applyBorder="1" applyAlignment="1">
      <alignment vertical="center" wrapText="1"/>
    </xf>
    <xf numFmtId="0" fontId="52" fillId="0" borderId="69" xfId="0" applyFont="1" applyBorder="1" applyAlignment="1">
      <alignment vertical="center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28" borderId="74" xfId="0" applyFill="1" applyBorder="1" applyAlignment="1">
      <alignment/>
    </xf>
    <xf numFmtId="0" fontId="0" fillId="28" borderId="75" xfId="0" applyFill="1" applyBorder="1" applyAlignment="1">
      <alignment/>
    </xf>
    <xf numFmtId="0" fontId="0" fillId="0" borderId="69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vertical="center"/>
    </xf>
    <xf numFmtId="164" fontId="19" fillId="0" borderId="89" xfId="0" applyNumberFormat="1" applyFont="1" applyBorder="1" applyAlignment="1">
      <alignment horizontal="center" vertical="top" wrapText="1"/>
    </xf>
    <xf numFmtId="0" fontId="0" fillId="0" borderId="90" xfId="0" applyBorder="1" applyAlignment="1">
      <alignment horizontal="center" vertical="top" wrapText="1"/>
    </xf>
    <xf numFmtId="0" fontId="0" fillId="0" borderId="91" xfId="0" applyBorder="1" applyAlignment="1">
      <alignment horizontal="center" vertical="top" wrapText="1"/>
    </xf>
    <xf numFmtId="0" fontId="0" fillId="28" borderId="66" xfId="0" applyFill="1" applyBorder="1" applyAlignment="1">
      <alignment/>
    </xf>
    <xf numFmtId="0" fontId="35" fillId="22" borderId="30" xfId="0" applyFont="1" applyFill="1" applyBorder="1" applyAlignment="1">
      <alignment horizontal="center" vertical="center"/>
    </xf>
    <xf numFmtId="0" fontId="35" fillId="22" borderId="14" xfId="0" applyFont="1" applyFill="1" applyBorder="1" applyAlignment="1">
      <alignment horizontal="center" vertical="center"/>
    </xf>
    <xf numFmtId="0" fontId="35" fillId="22" borderId="92" xfId="0" applyFont="1" applyFill="1" applyBorder="1" applyAlignment="1">
      <alignment horizontal="center" vertical="center"/>
    </xf>
    <xf numFmtId="0" fontId="35" fillId="22" borderId="27" xfId="0" applyFont="1" applyFill="1" applyBorder="1" applyAlignment="1">
      <alignment horizontal="center" vertical="center"/>
    </xf>
    <xf numFmtId="0" fontId="35" fillId="22" borderId="93" xfId="0" applyFont="1" applyFill="1" applyBorder="1" applyAlignment="1">
      <alignment horizontal="center" vertical="center"/>
    </xf>
    <xf numFmtId="0" fontId="35" fillId="26" borderId="30" xfId="0" applyFont="1" applyFill="1" applyBorder="1" applyAlignment="1">
      <alignment horizontal="center" vertical="center" wrapText="1"/>
    </xf>
    <xf numFmtId="0" fontId="35" fillId="26" borderId="14" xfId="0" applyFont="1" applyFill="1" applyBorder="1" applyAlignment="1">
      <alignment horizontal="center" vertical="center" wrapText="1"/>
    </xf>
    <xf numFmtId="0" fontId="35" fillId="26" borderId="94" xfId="0" applyFont="1" applyFill="1" applyBorder="1" applyAlignment="1">
      <alignment horizontal="center" vertical="center" wrapText="1"/>
    </xf>
    <xf numFmtId="0" fontId="35" fillId="26" borderId="34" xfId="0" applyFont="1" applyFill="1" applyBorder="1" applyAlignment="1">
      <alignment horizontal="center" vertical="center" wrapText="1"/>
    </xf>
    <xf numFmtId="0" fontId="35" fillId="26" borderId="30" xfId="0" applyFont="1" applyFill="1" applyBorder="1" applyAlignment="1">
      <alignment horizontal="center" vertical="center"/>
    </xf>
    <xf numFmtId="0" fontId="35" fillId="26" borderId="14" xfId="0" applyFont="1" applyFill="1" applyBorder="1" applyAlignment="1">
      <alignment horizontal="center" vertical="center"/>
    </xf>
    <xf numFmtId="0" fontId="35" fillId="22" borderId="95" xfId="0" applyFont="1" applyFill="1" applyBorder="1" applyAlignment="1">
      <alignment horizontal="center" vertical="center"/>
    </xf>
    <xf numFmtId="0" fontId="35" fillId="22" borderId="35" xfId="0" applyFont="1" applyFill="1" applyBorder="1" applyAlignment="1">
      <alignment horizontal="center" vertical="center"/>
    </xf>
    <xf numFmtId="0" fontId="35" fillId="35" borderId="96" xfId="0" applyFont="1" applyFill="1" applyBorder="1" applyAlignment="1">
      <alignment horizontal="center" vertical="center"/>
    </xf>
    <xf numFmtId="0" fontId="35" fillId="35" borderId="21" xfId="0" applyFont="1" applyFill="1" applyBorder="1" applyAlignment="1">
      <alignment horizontal="center" vertical="center"/>
    </xf>
    <xf numFmtId="0" fontId="35" fillId="22" borderId="97" xfId="0" applyFont="1" applyFill="1" applyBorder="1" applyAlignment="1">
      <alignment horizontal="center" vertical="center" wrapText="1"/>
    </xf>
    <xf numFmtId="0" fontId="35" fillId="22" borderId="98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textRotation="90"/>
    </xf>
    <xf numFmtId="0" fontId="35" fillId="22" borderId="99" xfId="0" applyFont="1" applyFill="1" applyBorder="1" applyAlignment="1">
      <alignment horizontal="center" vertical="center" wrapText="1"/>
    </xf>
    <xf numFmtId="0" fontId="35" fillId="22" borderId="100" xfId="0" applyFont="1" applyFill="1" applyBorder="1" applyAlignment="1">
      <alignment horizontal="center" vertical="center" wrapText="1"/>
    </xf>
    <xf numFmtId="0" fontId="35" fillId="22" borderId="101" xfId="0" applyFont="1" applyFill="1" applyBorder="1" applyAlignment="1">
      <alignment horizontal="center" vertical="center" wrapText="1"/>
    </xf>
    <xf numFmtId="0" fontId="35" fillId="22" borderId="102" xfId="0" applyFont="1" applyFill="1" applyBorder="1" applyAlignment="1">
      <alignment horizontal="center" vertical="center" wrapText="1"/>
    </xf>
    <xf numFmtId="0" fontId="35" fillId="22" borderId="0" xfId="0" applyFont="1" applyFill="1" applyBorder="1" applyAlignment="1">
      <alignment horizontal="center" vertical="center" wrapText="1"/>
    </xf>
    <xf numFmtId="0" fontId="35" fillId="22" borderId="103" xfId="0" applyFont="1" applyFill="1" applyBorder="1" applyAlignment="1">
      <alignment horizontal="center" vertical="center" wrapText="1"/>
    </xf>
    <xf numFmtId="0" fontId="35" fillId="22" borderId="90" xfId="0" applyFont="1" applyFill="1" applyBorder="1" applyAlignment="1">
      <alignment horizontal="center" vertical="center" wrapText="1"/>
    </xf>
    <xf numFmtId="0" fontId="0" fillId="0" borderId="97" xfId="0" applyBorder="1" applyAlignment="1">
      <alignment/>
    </xf>
    <xf numFmtId="0" fontId="35" fillId="22" borderId="104" xfId="0" applyFont="1" applyFill="1" applyBorder="1" applyAlignment="1">
      <alignment horizontal="center" vertical="center" wrapText="1"/>
    </xf>
    <xf numFmtId="0" fontId="35" fillId="22" borderId="105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82" xfId="0" applyFont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38" fillId="0" borderId="81" xfId="0" applyFont="1" applyBorder="1" applyAlignment="1">
      <alignment vertical="center"/>
    </xf>
    <xf numFmtId="0" fontId="38" fillId="0" borderId="22" xfId="0" applyFont="1" applyBorder="1" applyAlignment="1">
      <alignment vertical="center" wrapText="1"/>
    </xf>
    <xf numFmtId="0" fontId="38" fillId="0" borderId="22" xfId="0" applyFont="1" applyBorder="1" applyAlignment="1">
      <alignment horizontal="left" vertical="center"/>
    </xf>
    <xf numFmtId="0" fontId="38" fillId="0" borderId="81" xfId="0" applyFont="1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textRotation="90"/>
    </xf>
    <xf numFmtId="0" fontId="35" fillId="22" borderId="13" xfId="0" applyFont="1" applyFill="1" applyBorder="1" applyAlignment="1">
      <alignment horizontal="left" vertical="center" wrapText="1"/>
    </xf>
    <xf numFmtId="0" fontId="35" fillId="22" borderId="22" xfId="0" applyFont="1" applyFill="1" applyBorder="1" applyAlignment="1">
      <alignment horizontal="left" vertical="center" wrapText="1"/>
    </xf>
    <xf numFmtId="0" fontId="35" fillId="22" borderId="105" xfId="0" applyFont="1" applyFill="1" applyBorder="1" applyAlignment="1">
      <alignment horizontal="center" vertical="center"/>
    </xf>
    <xf numFmtId="0" fontId="0" fillId="0" borderId="81" xfId="0" applyBorder="1" applyAlignment="1">
      <alignment vertical="center" wrapText="1"/>
    </xf>
    <xf numFmtId="0" fontId="35" fillId="0" borderId="14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38" fillId="0" borderId="17" xfId="0" applyFont="1" applyFill="1" applyBorder="1" applyAlignment="1">
      <alignment horizontal="center" vertical="center" textRotation="90" wrapText="1"/>
    </xf>
    <xf numFmtId="0" fontId="38" fillId="0" borderId="47" xfId="0" applyFont="1" applyFill="1" applyBorder="1" applyAlignment="1">
      <alignment horizontal="center" vertical="center" textRotation="90" wrapText="1"/>
    </xf>
    <xf numFmtId="0" fontId="38" fillId="0" borderId="31" xfId="0" applyFont="1" applyFill="1" applyBorder="1" applyAlignment="1">
      <alignment horizontal="center" vertical="center" textRotation="90" wrapText="1"/>
    </xf>
    <xf numFmtId="0" fontId="41" fillId="4" borderId="90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center" vertical="center" wrapText="1"/>
    </xf>
    <xf numFmtId="0" fontId="38" fillId="0" borderId="102" xfId="0" applyFont="1" applyBorder="1" applyAlignment="1">
      <alignment horizontal="center" vertical="center" wrapText="1"/>
    </xf>
    <xf numFmtId="0" fontId="35" fillId="22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center" vertical="center" textRotation="90" wrapText="1"/>
    </xf>
    <xf numFmtId="0" fontId="35" fillId="0" borderId="29" xfId="0" applyFont="1" applyFill="1" applyBorder="1" applyAlignment="1">
      <alignment horizontal="left" vertical="center" wrapText="1"/>
    </xf>
    <xf numFmtId="0" fontId="35" fillId="0" borderId="106" xfId="0" applyFont="1" applyFill="1" applyBorder="1" applyAlignment="1">
      <alignment horizontal="left" vertical="center" wrapText="1"/>
    </xf>
    <xf numFmtId="0" fontId="35" fillId="22" borderId="18" xfId="0" applyFont="1" applyFill="1" applyBorder="1" applyAlignment="1">
      <alignment horizontal="center" vertical="center" wrapText="1"/>
    </xf>
    <xf numFmtId="0" fontId="35" fillId="22" borderId="10" xfId="0" applyFont="1" applyFill="1" applyBorder="1" applyAlignment="1">
      <alignment horizontal="center" vertical="center"/>
    </xf>
    <xf numFmtId="0" fontId="40" fillId="22" borderId="11" xfId="0" applyFont="1" applyFill="1" applyBorder="1" applyAlignment="1">
      <alignment horizontal="center" vertical="center"/>
    </xf>
    <xf numFmtId="0" fontId="35" fillId="22" borderId="107" xfId="0" applyFont="1" applyFill="1" applyBorder="1" applyAlignment="1">
      <alignment horizontal="center" vertical="center"/>
    </xf>
    <xf numFmtId="0" fontId="35" fillId="22" borderId="23" xfId="0" applyFont="1" applyFill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5" fillId="22" borderId="36" xfId="0" applyFont="1" applyFill="1" applyBorder="1" applyAlignment="1">
      <alignment horizontal="center" vertical="center"/>
    </xf>
    <xf numFmtId="0" fontId="41" fillId="4" borderId="90" xfId="0" applyFont="1" applyFill="1" applyBorder="1" applyAlignment="1">
      <alignment horizontal="center" vertical="top"/>
    </xf>
    <xf numFmtId="0" fontId="34" fillId="22" borderId="30" xfId="0" applyFont="1" applyFill="1" applyBorder="1" applyAlignment="1">
      <alignment horizontal="center" vertical="center" wrapText="1"/>
    </xf>
    <xf numFmtId="0" fontId="34" fillId="22" borderId="94" xfId="0" applyFont="1" applyFill="1" applyBorder="1" applyAlignment="1">
      <alignment horizontal="center" vertical="center" wrapText="1"/>
    </xf>
    <xf numFmtId="0" fontId="34" fillId="22" borderId="108" xfId="0" applyFont="1" applyFill="1" applyBorder="1" applyAlignment="1">
      <alignment horizontal="center" vertical="center" wrapText="1"/>
    </xf>
    <xf numFmtId="0" fontId="33" fillId="0" borderId="109" xfId="0" applyFont="1" applyBorder="1" applyAlignment="1">
      <alignment horizontal="center" vertical="center" wrapText="1"/>
    </xf>
    <xf numFmtId="0" fontId="34" fillId="22" borderId="16" xfId="0" applyFont="1" applyFill="1" applyBorder="1" applyAlignment="1">
      <alignment horizontal="center" vertical="center" wrapText="1"/>
    </xf>
    <xf numFmtId="0" fontId="34" fillId="22" borderId="49" xfId="0" applyFont="1" applyFill="1" applyBorder="1" applyAlignment="1">
      <alignment horizontal="center" vertical="center" wrapText="1"/>
    </xf>
    <xf numFmtId="0" fontId="34" fillId="22" borderId="29" xfId="0" applyFont="1" applyFill="1" applyBorder="1" applyAlignment="1">
      <alignment horizontal="center" vertical="center"/>
    </xf>
    <xf numFmtId="0" fontId="34" fillId="22" borderId="13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4" fillId="22" borderId="30" xfId="0" applyFont="1" applyFill="1" applyBorder="1" applyAlignment="1">
      <alignment horizontal="center" vertical="center"/>
    </xf>
    <xf numFmtId="0" fontId="34" fillId="22" borderId="14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53" fillId="22" borderId="78" xfId="0" applyFont="1" applyFill="1" applyBorder="1" applyAlignment="1">
      <alignment horizontal="center" vertical="center" wrapText="1"/>
    </xf>
    <xf numFmtId="0" fontId="53" fillId="22" borderId="15" xfId="0" applyFont="1" applyFill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54" fillId="22" borderId="3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5" fillId="25" borderId="1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3" fillId="4" borderId="92" xfId="0" applyFont="1" applyFill="1" applyBorder="1" applyAlignment="1">
      <alignment horizontal="center" vertical="center"/>
    </xf>
    <xf numFmtId="0" fontId="43" fillId="4" borderId="9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">
      <selection activeCell="D40" sqref="D40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23" t="s">
        <v>221</v>
      </c>
      <c r="B1" s="523"/>
      <c r="C1" s="523"/>
      <c r="D1" s="523"/>
      <c r="E1" s="523"/>
      <c r="F1" s="523"/>
      <c r="G1" s="523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7" t="s">
        <v>7</v>
      </c>
      <c r="B4" s="15">
        <v>90</v>
      </c>
      <c r="C4" s="28">
        <f>C3</f>
        <v>2100000</v>
      </c>
      <c r="D4" s="12">
        <v>0</v>
      </c>
      <c r="E4" s="242">
        <f>B4*C4*5.5%/360</f>
        <v>28875</v>
      </c>
      <c r="F4" s="242">
        <v>0</v>
      </c>
      <c r="G4" s="242">
        <f>E3+E4</f>
        <v>28875</v>
      </c>
    </row>
    <row r="5" spans="1:7" s="2" customFormat="1" ht="15">
      <c r="A5" s="243" t="s">
        <v>8</v>
      </c>
      <c r="B5" s="244">
        <v>90</v>
      </c>
      <c r="C5" s="245">
        <f aca="true" t="shared" si="0" ref="C5:C39">C4-D4</f>
        <v>2100000</v>
      </c>
      <c r="D5" s="246">
        <v>12500</v>
      </c>
      <c r="E5" s="247">
        <f>B5*C5*0.07/360</f>
        <v>36750.00000000001</v>
      </c>
      <c r="F5" s="247"/>
      <c r="G5" s="247"/>
    </row>
    <row r="6" spans="1:8" ht="15">
      <c r="A6" s="248" t="s">
        <v>9</v>
      </c>
      <c r="B6" s="249">
        <v>90</v>
      </c>
      <c r="C6" s="250">
        <f t="shared" si="0"/>
        <v>2087500</v>
      </c>
      <c r="D6" s="251">
        <v>12500</v>
      </c>
      <c r="E6" s="252">
        <f>B6*C6*0.07/360</f>
        <v>36531.25000000001</v>
      </c>
      <c r="F6" s="252"/>
      <c r="G6" s="252"/>
      <c r="H6" s="14">
        <f>SUM(D5:D8)</f>
        <v>50000</v>
      </c>
    </row>
    <row r="7" spans="1:7" ht="15">
      <c r="A7" s="248" t="s">
        <v>10</v>
      </c>
      <c r="B7" s="249">
        <v>90</v>
      </c>
      <c r="C7" s="250">
        <f t="shared" si="0"/>
        <v>2075000</v>
      </c>
      <c r="D7" s="251">
        <f aca="true" t="shared" si="1" ref="D7:D25">D6</f>
        <v>12500</v>
      </c>
      <c r="E7" s="252">
        <f aca="true" t="shared" si="2" ref="E7:E40">B7*C7*0.07/360</f>
        <v>36312.50000000001</v>
      </c>
      <c r="F7" s="252"/>
      <c r="G7" s="252"/>
    </row>
    <row r="8" spans="1:7" ht="15.75" thickBot="1">
      <c r="A8" s="253" t="s">
        <v>11</v>
      </c>
      <c r="B8" s="254">
        <v>90</v>
      </c>
      <c r="C8" s="255">
        <f t="shared" si="0"/>
        <v>2062500</v>
      </c>
      <c r="D8" s="256">
        <f t="shared" si="1"/>
        <v>12500</v>
      </c>
      <c r="E8" s="257">
        <f>B8*C8*0.07/360</f>
        <v>36093.75000000001</v>
      </c>
      <c r="F8" s="257">
        <v>50000</v>
      </c>
      <c r="G8" s="257">
        <v>173688</v>
      </c>
    </row>
    <row r="9" spans="1:7" ht="15">
      <c r="A9" s="243" t="s">
        <v>12</v>
      </c>
      <c r="B9" s="244">
        <v>90</v>
      </c>
      <c r="C9" s="245">
        <f t="shared" si="0"/>
        <v>2050000</v>
      </c>
      <c r="D9" s="246">
        <f t="shared" si="1"/>
        <v>12500</v>
      </c>
      <c r="E9" s="247">
        <f t="shared" si="2"/>
        <v>35875.00000000001</v>
      </c>
      <c r="F9" s="247"/>
      <c r="G9" s="247"/>
    </row>
    <row r="10" spans="1:8" ht="15">
      <c r="A10" s="248" t="s">
        <v>13</v>
      </c>
      <c r="B10" s="249">
        <v>90</v>
      </c>
      <c r="C10" s="250">
        <f t="shared" si="0"/>
        <v>2037500</v>
      </c>
      <c r="D10" s="251">
        <f t="shared" si="1"/>
        <v>12500</v>
      </c>
      <c r="E10" s="252">
        <f t="shared" si="2"/>
        <v>35656.25000000001</v>
      </c>
      <c r="F10" s="252"/>
      <c r="G10" s="252"/>
      <c r="H10" s="14">
        <v>50000</v>
      </c>
    </row>
    <row r="11" spans="1:7" ht="15">
      <c r="A11" s="248" t="s">
        <v>14</v>
      </c>
      <c r="B11" s="249">
        <v>90</v>
      </c>
      <c r="C11" s="250">
        <f t="shared" si="0"/>
        <v>2025000</v>
      </c>
      <c r="D11" s="251">
        <f t="shared" si="1"/>
        <v>12500</v>
      </c>
      <c r="E11" s="252">
        <f t="shared" si="2"/>
        <v>35437.50000000001</v>
      </c>
      <c r="F11" s="252"/>
      <c r="G11" s="252"/>
    </row>
    <row r="12" spans="1:7" ht="15.75" thickBot="1">
      <c r="A12" s="253" t="s">
        <v>15</v>
      </c>
      <c r="B12" s="254">
        <v>90</v>
      </c>
      <c r="C12" s="255">
        <f t="shared" si="0"/>
        <v>2012500</v>
      </c>
      <c r="D12" s="256">
        <f t="shared" si="1"/>
        <v>12500</v>
      </c>
      <c r="E12" s="257">
        <f t="shared" si="2"/>
        <v>35218.75000000001</v>
      </c>
      <c r="F12" s="257">
        <f>SUM(D9:D12)</f>
        <v>50000</v>
      </c>
      <c r="G12" s="257">
        <v>170188</v>
      </c>
    </row>
    <row r="13" spans="1:7" ht="15">
      <c r="A13" s="243" t="s">
        <v>16</v>
      </c>
      <c r="B13" s="244">
        <v>90</v>
      </c>
      <c r="C13" s="245">
        <f t="shared" si="0"/>
        <v>2000000</v>
      </c>
      <c r="D13" s="246">
        <f t="shared" si="1"/>
        <v>12500</v>
      </c>
      <c r="E13" s="247">
        <f t="shared" si="2"/>
        <v>35000.00000000001</v>
      </c>
      <c r="F13" s="247"/>
      <c r="G13" s="247"/>
    </row>
    <row r="14" spans="1:8" ht="15">
      <c r="A14" s="248" t="s">
        <v>17</v>
      </c>
      <c r="B14" s="249">
        <v>90</v>
      </c>
      <c r="C14" s="250">
        <f t="shared" si="0"/>
        <v>1987500</v>
      </c>
      <c r="D14" s="251">
        <f t="shared" si="1"/>
        <v>12500</v>
      </c>
      <c r="E14" s="252">
        <f t="shared" si="2"/>
        <v>34781.25000000001</v>
      </c>
      <c r="F14" s="252"/>
      <c r="G14" s="252"/>
      <c r="H14" s="14">
        <v>50000</v>
      </c>
    </row>
    <row r="15" spans="1:7" ht="15">
      <c r="A15" s="248" t="s">
        <v>18</v>
      </c>
      <c r="B15" s="249">
        <v>90</v>
      </c>
      <c r="C15" s="250">
        <f t="shared" si="0"/>
        <v>1975000</v>
      </c>
      <c r="D15" s="251">
        <f t="shared" si="1"/>
        <v>12500</v>
      </c>
      <c r="E15" s="252">
        <f t="shared" si="2"/>
        <v>34562.50000000001</v>
      </c>
      <c r="F15" s="252"/>
      <c r="G15" s="252"/>
    </row>
    <row r="16" spans="1:7" ht="15.75" thickBot="1">
      <c r="A16" s="253" t="s">
        <v>19</v>
      </c>
      <c r="B16" s="254">
        <v>90</v>
      </c>
      <c r="C16" s="255">
        <f t="shared" si="0"/>
        <v>1962500</v>
      </c>
      <c r="D16" s="256">
        <f t="shared" si="1"/>
        <v>12500</v>
      </c>
      <c r="E16" s="257">
        <f>B16*C16*0.07/360</f>
        <v>34343.75000000001</v>
      </c>
      <c r="F16" s="257">
        <f>SUM(D13:D16)</f>
        <v>50000</v>
      </c>
      <c r="G16" s="257">
        <v>166688</v>
      </c>
    </row>
    <row r="17" spans="1:7" ht="15">
      <c r="A17" s="243" t="s">
        <v>20</v>
      </c>
      <c r="B17" s="244">
        <v>90</v>
      </c>
      <c r="C17" s="245">
        <f t="shared" si="0"/>
        <v>1950000</v>
      </c>
      <c r="D17" s="246">
        <f t="shared" si="1"/>
        <v>12500</v>
      </c>
      <c r="E17" s="247">
        <f t="shared" si="2"/>
        <v>34125.00000000001</v>
      </c>
      <c r="F17" s="247"/>
      <c r="G17" s="247"/>
    </row>
    <row r="18" spans="1:8" ht="15">
      <c r="A18" s="248" t="s">
        <v>21</v>
      </c>
      <c r="B18" s="249">
        <v>90</v>
      </c>
      <c r="C18" s="250">
        <f t="shared" si="0"/>
        <v>1937500</v>
      </c>
      <c r="D18" s="251">
        <f t="shared" si="1"/>
        <v>12500</v>
      </c>
      <c r="E18" s="252">
        <f t="shared" si="2"/>
        <v>33906.25000000001</v>
      </c>
      <c r="F18" s="252"/>
      <c r="G18" s="252"/>
      <c r="H18" s="14">
        <v>50000</v>
      </c>
    </row>
    <row r="19" spans="1:8" s="17" customFormat="1" ht="15">
      <c r="A19" s="258" t="s">
        <v>22</v>
      </c>
      <c r="B19" s="259">
        <v>90</v>
      </c>
      <c r="C19" s="250">
        <f t="shared" si="0"/>
        <v>1925000</v>
      </c>
      <c r="D19" s="251">
        <f t="shared" si="1"/>
        <v>12500</v>
      </c>
      <c r="E19" s="252">
        <f t="shared" si="2"/>
        <v>33687.50000000001</v>
      </c>
      <c r="F19" s="260"/>
      <c r="G19" s="260"/>
      <c r="H19" s="16"/>
    </row>
    <row r="20" spans="1:7" s="17" customFormat="1" ht="15.75" thickBot="1">
      <c r="A20" s="264" t="s">
        <v>23</v>
      </c>
      <c r="B20" s="265">
        <v>90</v>
      </c>
      <c r="C20" s="266">
        <f t="shared" si="0"/>
        <v>1912500</v>
      </c>
      <c r="D20" s="267">
        <f t="shared" si="1"/>
        <v>12500</v>
      </c>
      <c r="E20" s="268">
        <f t="shared" si="2"/>
        <v>33468.75000000001</v>
      </c>
      <c r="F20" s="269">
        <f>SUM(D17:D20)</f>
        <v>50000</v>
      </c>
      <c r="G20" s="269">
        <v>163188</v>
      </c>
    </row>
    <row r="21" spans="1:7" ht="15">
      <c r="A21" s="243" t="s">
        <v>24</v>
      </c>
      <c r="B21" s="244">
        <v>90</v>
      </c>
      <c r="C21" s="245">
        <f t="shared" si="0"/>
        <v>1900000</v>
      </c>
      <c r="D21" s="246">
        <f t="shared" si="1"/>
        <v>12500</v>
      </c>
      <c r="E21" s="247">
        <f t="shared" si="2"/>
        <v>33250.00000000001</v>
      </c>
      <c r="F21" s="247"/>
      <c r="G21" s="247"/>
    </row>
    <row r="22" spans="1:8" ht="15">
      <c r="A22" s="248" t="s">
        <v>25</v>
      </c>
      <c r="B22" s="249">
        <v>90</v>
      </c>
      <c r="C22" s="250">
        <f t="shared" si="0"/>
        <v>1887500</v>
      </c>
      <c r="D22" s="251">
        <f t="shared" si="1"/>
        <v>12500</v>
      </c>
      <c r="E22" s="252">
        <f t="shared" si="2"/>
        <v>33031.25000000001</v>
      </c>
      <c r="F22" s="252"/>
      <c r="G22" s="252"/>
      <c r="H22" s="14">
        <v>50000</v>
      </c>
    </row>
    <row r="23" spans="1:7" ht="15">
      <c r="A23" s="248" t="s">
        <v>26</v>
      </c>
      <c r="B23" s="249">
        <v>90</v>
      </c>
      <c r="C23" s="250">
        <f t="shared" si="0"/>
        <v>1875000</v>
      </c>
      <c r="D23" s="251">
        <f t="shared" si="1"/>
        <v>12500</v>
      </c>
      <c r="E23" s="252">
        <f t="shared" si="2"/>
        <v>32812.50000000001</v>
      </c>
      <c r="F23" s="252"/>
      <c r="G23" s="252"/>
    </row>
    <row r="24" spans="1:7" ht="15.75" thickBot="1">
      <c r="A24" s="253" t="s">
        <v>27</v>
      </c>
      <c r="B24" s="254">
        <v>90</v>
      </c>
      <c r="C24" s="255">
        <f t="shared" si="0"/>
        <v>1862500</v>
      </c>
      <c r="D24" s="256">
        <f t="shared" si="1"/>
        <v>12500</v>
      </c>
      <c r="E24" s="257">
        <f t="shared" si="2"/>
        <v>32593.750000000004</v>
      </c>
      <c r="F24" s="257">
        <f>SUM(D21:D24)</f>
        <v>50000</v>
      </c>
      <c r="G24" s="257">
        <v>159688</v>
      </c>
    </row>
    <row r="25" spans="1:7" s="17" customFormat="1" ht="15">
      <c r="A25" s="270" t="s">
        <v>28</v>
      </c>
      <c r="B25" s="271">
        <v>90</v>
      </c>
      <c r="C25" s="272">
        <f t="shared" si="0"/>
        <v>1850000</v>
      </c>
      <c r="D25" s="246">
        <f t="shared" si="1"/>
        <v>12500</v>
      </c>
      <c r="E25" s="247">
        <f t="shared" si="2"/>
        <v>32375.000000000004</v>
      </c>
      <c r="F25" s="273"/>
      <c r="G25" s="273"/>
    </row>
    <row r="26" spans="1:8" s="17" customFormat="1" ht="15">
      <c r="A26" s="258" t="s">
        <v>29</v>
      </c>
      <c r="B26" s="259">
        <v>90</v>
      </c>
      <c r="C26" s="274">
        <f t="shared" si="0"/>
        <v>1837500</v>
      </c>
      <c r="D26" s="251"/>
      <c r="E26" s="252">
        <f t="shared" si="2"/>
        <v>32156.250000000004</v>
      </c>
      <c r="F26" s="260"/>
      <c r="G26" s="260"/>
      <c r="H26" s="18">
        <f>SUM(D25:D28)</f>
        <v>25000</v>
      </c>
    </row>
    <row r="27" spans="1:7" s="17" customFormat="1" ht="15">
      <c r="A27" s="258" t="s">
        <v>30</v>
      </c>
      <c r="B27" s="259">
        <v>90</v>
      </c>
      <c r="C27" s="274">
        <f t="shared" si="0"/>
        <v>1837500</v>
      </c>
      <c r="D27" s="251">
        <v>12500</v>
      </c>
      <c r="E27" s="252">
        <f t="shared" si="2"/>
        <v>32156.250000000004</v>
      </c>
      <c r="F27" s="260"/>
      <c r="G27" s="260"/>
    </row>
    <row r="28" spans="1:7" s="17" customFormat="1" ht="15.75" thickBot="1">
      <c r="A28" s="261" t="s">
        <v>31</v>
      </c>
      <c r="B28" s="262">
        <v>90</v>
      </c>
      <c r="C28" s="275">
        <f t="shared" si="0"/>
        <v>1825000</v>
      </c>
      <c r="D28" s="256"/>
      <c r="E28" s="257">
        <f t="shared" si="2"/>
        <v>31937.500000000004</v>
      </c>
      <c r="F28" s="263">
        <f>SUM(D25:D28)</f>
        <v>25000</v>
      </c>
      <c r="G28" s="263">
        <f>SUM(E25:E28)</f>
        <v>128625.00000000001</v>
      </c>
    </row>
    <row r="29" spans="1:8" ht="15">
      <c r="A29" s="243" t="s">
        <v>32</v>
      </c>
      <c r="B29" s="244">
        <v>90</v>
      </c>
      <c r="C29" s="245">
        <f t="shared" si="0"/>
        <v>1825000</v>
      </c>
      <c r="D29" s="246">
        <v>12500</v>
      </c>
      <c r="E29" s="247">
        <f t="shared" si="2"/>
        <v>31937.500000000004</v>
      </c>
      <c r="F29" s="247"/>
      <c r="G29" s="247"/>
      <c r="H29" s="241">
        <f>C29/12</f>
        <v>152083.33333333334</v>
      </c>
    </row>
    <row r="30" spans="1:8" ht="15">
      <c r="A30" s="248" t="s">
        <v>33</v>
      </c>
      <c r="B30" s="249">
        <v>90</v>
      </c>
      <c r="C30" s="250">
        <f t="shared" si="0"/>
        <v>1812500</v>
      </c>
      <c r="D30" s="251">
        <v>12500</v>
      </c>
      <c r="E30" s="252">
        <f t="shared" si="2"/>
        <v>31718.750000000004</v>
      </c>
      <c r="F30" s="252"/>
      <c r="G30" s="252"/>
      <c r="H30" s="14">
        <f>SUM(D29:D32)</f>
        <v>50528</v>
      </c>
    </row>
    <row r="31" spans="1:7" ht="15">
      <c r="A31" s="248" t="s">
        <v>34</v>
      </c>
      <c r="B31" s="249">
        <v>90</v>
      </c>
      <c r="C31" s="250">
        <f t="shared" si="0"/>
        <v>1800000</v>
      </c>
      <c r="D31" s="251">
        <v>13028</v>
      </c>
      <c r="E31" s="252">
        <f t="shared" si="2"/>
        <v>31500.000000000004</v>
      </c>
      <c r="F31" s="252"/>
      <c r="G31" s="252"/>
    </row>
    <row r="32" spans="1:7" ht="15.75" thickBot="1">
      <c r="A32" s="253" t="s">
        <v>35</v>
      </c>
      <c r="B32" s="254">
        <v>90</v>
      </c>
      <c r="C32" s="255">
        <f t="shared" si="0"/>
        <v>1786972</v>
      </c>
      <c r="D32" s="256">
        <v>12500</v>
      </c>
      <c r="E32" s="257">
        <f t="shared" si="2"/>
        <v>31272.010000000006</v>
      </c>
      <c r="F32" s="257">
        <f>SUM(D29:D32)</f>
        <v>50528</v>
      </c>
      <c r="G32" s="257">
        <f>SUM(E29:E32)</f>
        <v>126428.26000000002</v>
      </c>
    </row>
    <row r="33" spans="1:7" s="17" customFormat="1" ht="15">
      <c r="A33" s="270" t="s">
        <v>36</v>
      </c>
      <c r="B33" s="271">
        <v>90</v>
      </c>
      <c r="C33" s="272">
        <f t="shared" si="0"/>
        <v>1774472</v>
      </c>
      <c r="D33" s="276">
        <v>150000</v>
      </c>
      <c r="E33" s="273">
        <f t="shared" si="2"/>
        <v>31053.260000000006</v>
      </c>
      <c r="F33" s="273"/>
      <c r="G33" s="273"/>
    </row>
    <row r="34" spans="1:8" s="17" customFormat="1" ht="15">
      <c r="A34" s="258" t="s">
        <v>37</v>
      </c>
      <c r="B34" s="259">
        <v>90</v>
      </c>
      <c r="C34" s="274">
        <f t="shared" si="0"/>
        <v>1624472</v>
      </c>
      <c r="D34" s="277">
        <f>D33</f>
        <v>150000</v>
      </c>
      <c r="E34" s="260">
        <f t="shared" si="2"/>
        <v>28428.260000000006</v>
      </c>
      <c r="F34" s="260"/>
      <c r="G34" s="260"/>
      <c r="H34" s="18">
        <f>SUM(D33:D36)</f>
        <v>750523</v>
      </c>
    </row>
    <row r="35" spans="1:7" s="17" customFormat="1" ht="15">
      <c r="A35" s="258" t="s">
        <v>38</v>
      </c>
      <c r="B35" s="259">
        <v>90</v>
      </c>
      <c r="C35" s="274">
        <f t="shared" si="0"/>
        <v>1474472</v>
      </c>
      <c r="D35" s="277">
        <v>225000</v>
      </c>
      <c r="E35" s="260">
        <f t="shared" si="2"/>
        <v>25803.260000000006</v>
      </c>
      <c r="F35" s="260"/>
      <c r="G35" s="260"/>
    </row>
    <row r="36" spans="1:7" s="17" customFormat="1" ht="15.75" thickBot="1">
      <c r="A36" s="264" t="s">
        <v>39</v>
      </c>
      <c r="B36" s="265">
        <v>90</v>
      </c>
      <c r="C36" s="279">
        <f t="shared" si="0"/>
        <v>1249472</v>
      </c>
      <c r="D36" s="280">
        <v>225523</v>
      </c>
      <c r="E36" s="269">
        <f t="shared" si="2"/>
        <v>21865.760000000002</v>
      </c>
      <c r="F36" s="269">
        <f>SUM(D33:D36)</f>
        <v>750523</v>
      </c>
      <c r="G36" s="269">
        <f>SUM(E33:E36)</f>
        <v>107150.54000000001</v>
      </c>
    </row>
    <row r="37" spans="1:7" ht="15">
      <c r="A37" s="243" t="s">
        <v>40</v>
      </c>
      <c r="B37" s="244">
        <v>90</v>
      </c>
      <c r="C37" s="245">
        <f t="shared" si="0"/>
        <v>1023949</v>
      </c>
      <c r="D37" s="276">
        <v>150000</v>
      </c>
      <c r="E37" s="247">
        <f>B37*C37*0.07/360</f>
        <v>17919.107500000002</v>
      </c>
      <c r="F37" s="247"/>
      <c r="G37" s="247"/>
    </row>
    <row r="38" spans="1:8" ht="15">
      <c r="A38" s="248" t="s">
        <v>41</v>
      </c>
      <c r="B38" s="249">
        <v>90</v>
      </c>
      <c r="C38" s="250">
        <f t="shared" si="0"/>
        <v>873949</v>
      </c>
      <c r="D38" s="277">
        <v>150000</v>
      </c>
      <c r="E38" s="252">
        <f t="shared" si="2"/>
        <v>15294.1075</v>
      </c>
      <c r="F38" s="252"/>
      <c r="G38" s="252"/>
      <c r="H38" s="14">
        <f>SUM(D37:D40)</f>
        <v>600000</v>
      </c>
    </row>
    <row r="39" spans="1:7" ht="15">
      <c r="A39" s="248" t="s">
        <v>42</v>
      </c>
      <c r="B39" s="249">
        <v>90</v>
      </c>
      <c r="C39" s="250">
        <f t="shared" si="0"/>
        <v>723949</v>
      </c>
      <c r="D39" s="277">
        <v>150000</v>
      </c>
      <c r="E39" s="252">
        <f t="shared" si="2"/>
        <v>12669.1075</v>
      </c>
      <c r="F39" s="252"/>
      <c r="G39" s="252"/>
    </row>
    <row r="40" spans="1:7" ht="15.75" thickBot="1">
      <c r="A40" s="253" t="s">
        <v>43</v>
      </c>
      <c r="B40" s="254">
        <v>90</v>
      </c>
      <c r="C40" s="255">
        <f>C39-D39</f>
        <v>573949</v>
      </c>
      <c r="D40" s="278">
        <f>D39</f>
        <v>150000</v>
      </c>
      <c r="E40" s="257">
        <f t="shared" si="2"/>
        <v>10044.1075</v>
      </c>
      <c r="F40" s="257">
        <f>SUM(D37:D40)</f>
        <v>600000</v>
      </c>
      <c r="G40" s="257">
        <f>SUM(E37:E40)</f>
        <v>55926.43</v>
      </c>
    </row>
    <row r="41" spans="1:7" ht="15">
      <c r="A41" s="243" t="s">
        <v>44</v>
      </c>
      <c r="B41" s="244">
        <v>90</v>
      </c>
      <c r="C41" s="245">
        <f>C40-D40</f>
        <v>423949</v>
      </c>
      <c r="D41" s="276">
        <v>100000</v>
      </c>
      <c r="E41" s="247">
        <f>B41*C41*0.07/360</f>
        <v>7419.1075</v>
      </c>
      <c r="F41" s="247"/>
      <c r="G41" s="247"/>
    </row>
    <row r="42" spans="1:8" ht="15">
      <c r="A42" s="248" t="s">
        <v>45</v>
      </c>
      <c r="B42" s="249">
        <v>90</v>
      </c>
      <c r="C42" s="250">
        <f>C41-D41</f>
        <v>323949</v>
      </c>
      <c r="D42" s="277">
        <v>100000</v>
      </c>
      <c r="E42" s="252">
        <f>B42*C42*0.07/360</f>
        <v>5669.1075</v>
      </c>
      <c r="F42" s="252"/>
      <c r="G42" s="252"/>
      <c r="H42" s="14">
        <f>SUM(D41:D44)</f>
        <v>423949</v>
      </c>
    </row>
    <row r="43" spans="1:7" ht="15">
      <c r="A43" s="248" t="s">
        <v>46</v>
      </c>
      <c r="B43" s="249">
        <v>90</v>
      </c>
      <c r="C43" s="250">
        <f>C42-D42</f>
        <v>223949</v>
      </c>
      <c r="D43" s="277">
        <v>123949</v>
      </c>
      <c r="E43" s="252">
        <f>B43*C43*0.07/360</f>
        <v>3919.1075000000005</v>
      </c>
      <c r="F43" s="252"/>
      <c r="G43" s="252"/>
    </row>
    <row r="44" spans="1:7" ht="15.75" thickBot="1">
      <c r="A44" s="253" t="s">
        <v>47</v>
      </c>
      <c r="B44" s="254">
        <v>90</v>
      </c>
      <c r="C44" s="255">
        <f>C43-D43</f>
        <v>100000</v>
      </c>
      <c r="D44" s="278">
        <v>100000</v>
      </c>
      <c r="E44" s="257">
        <f>B44*C44*0.07/360</f>
        <v>1750.0000000000002</v>
      </c>
      <c r="F44" s="257">
        <f>SUM(D41:D44)</f>
        <v>423949</v>
      </c>
      <c r="G44" s="257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zoomScale="90" zoomScaleNormal="90" zoomScalePageLayoutView="0" workbookViewId="0" topLeftCell="A17">
      <selection activeCell="M52" sqref="M52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  <col min="13" max="13" width="11.00390625" style="0" bestFit="1" customWidth="1"/>
  </cols>
  <sheetData>
    <row r="1" spans="1:11" ht="26.25" customHeight="1">
      <c r="A1" s="523" t="s">
        <v>222</v>
      </c>
      <c r="B1" s="523"/>
      <c r="C1" s="523"/>
      <c r="D1" s="523"/>
      <c r="E1" s="523"/>
      <c r="F1" s="523"/>
      <c r="G1" s="530"/>
      <c r="H1" s="526" t="s">
        <v>227</v>
      </c>
      <c r="I1" s="528" t="s">
        <v>226</v>
      </c>
      <c r="J1" s="524" t="s">
        <v>224</v>
      </c>
      <c r="K1" s="525"/>
    </row>
    <row r="2" spans="1:11" ht="24" customHeight="1" thickBot="1">
      <c r="A2" s="531"/>
      <c r="B2" s="531"/>
      <c r="C2" s="531"/>
      <c r="D2" s="531"/>
      <c r="E2" s="531"/>
      <c r="F2" s="531"/>
      <c r="G2" s="532"/>
      <c r="H2" s="527"/>
      <c r="I2" s="529"/>
      <c r="J2" s="319" t="s">
        <v>228</v>
      </c>
      <c r="K2" s="320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281" t="s">
        <v>5</v>
      </c>
      <c r="H3" s="291"/>
      <c r="I3" s="291"/>
      <c r="J3" s="321"/>
      <c r="K3" s="321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282"/>
      <c r="H4" s="292">
        <v>2000000</v>
      </c>
      <c r="I4" s="292">
        <v>1265000</v>
      </c>
      <c r="J4" s="311">
        <f>H4+F4</f>
        <v>2000000</v>
      </c>
      <c r="K4" s="311">
        <f>I4</f>
        <v>1265000</v>
      </c>
    </row>
    <row r="5" spans="1:11" ht="0.75" customHeight="1" thickBot="1">
      <c r="A5" s="27" t="s">
        <v>7</v>
      </c>
      <c r="B5" s="15">
        <v>90</v>
      </c>
      <c r="C5" s="28">
        <f>C4</f>
        <v>11500000</v>
      </c>
      <c r="D5" s="12"/>
      <c r="E5" s="242">
        <f>B5*C5*5.5%/360</f>
        <v>158125</v>
      </c>
      <c r="F5" s="242">
        <v>0</v>
      </c>
      <c r="G5" s="283">
        <f>E4+E5</f>
        <v>158125</v>
      </c>
      <c r="H5" s="291"/>
      <c r="I5" s="291"/>
      <c r="J5" s="321"/>
      <c r="K5" s="321"/>
    </row>
    <row r="6" spans="1:11" s="2" customFormat="1" ht="15">
      <c r="A6" s="243" t="s">
        <v>8</v>
      </c>
      <c r="B6" s="244">
        <v>90</v>
      </c>
      <c r="C6" s="245">
        <v>18400000</v>
      </c>
      <c r="D6" s="246"/>
      <c r="E6" s="247">
        <f>B6*C6*0.07/360</f>
        <v>322000.00000000006</v>
      </c>
      <c r="F6" s="247"/>
      <c r="G6" s="284"/>
      <c r="H6" s="293"/>
      <c r="I6" s="293"/>
      <c r="J6" s="322"/>
      <c r="K6" s="322"/>
    </row>
    <row r="7" spans="1:11" ht="15">
      <c r="A7" s="248" t="s">
        <v>9</v>
      </c>
      <c r="B7" s="249">
        <v>90</v>
      </c>
      <c r="C7" s="250">
        <f aca="true" t="shared" si="0" ref="C7:C40">C6-D6</f>
        <v>18400000</v>
      </c>
      <c r="D7" s="251"/>
      <c r="E7" s="252">
        <f>B7*C7*0.07/360</f>
        <v>322000.00000000006</v>
      </c>
      <c r="F7" s="252"/>
      <c r="G7" s="285"/>
      <c r="H7" s="292">
        <f>SUM(D6:D9)</f>
        <v>0</v>
      </c>
      <c r="I7" s="291"/>
      <c r="J7" s="321"/>
      <c r="K7" s="321"/>
    </row>
    <row r="8" spans="1:11" ht="15">
      <c r="A8" s="248" t="s">
        <v>10</v>
      </c>
      <c r="B8" s="249">
        <v>90</v>
      </c>
      <c r="C8" s="250">
        <f t="shared" si="0"/>
        <v>18400000</v>
      </c>
      <c r="D8" s="251"/>
      <c r="E8" s="252">
        <f aca="true" t="shared" si="1" ref="E8:E41">B8*C8*0.07/360</f>
        <v>322000.00000000006</v>
      </c>
      <c r="F8" s="252"/>
      <c r="G8" s="285"/>
      <c r="H8" s="291"/>
      <c r="I8" s="291"/>
      <c r="J8" s="321"/>
      <c r="K8" s="321"/>
    </row>
    <row r="9" spans="1:11" ht="15.75" thickBot="1">
      <c r="A9" s="253" t="s">
        <v>11</v>
      </c>
      <c r="B9" s="254">
        <v>90</v>
      </c>
      <c r="C9" s="255">
        <f t="shared" si="0"/>
        <v>18400000</v>
      </c>
      <c r="D9" s="256"/>
      <c r="E9" s="257">
        <f t="shared" si="1"/>
        <v>322000.00000000006</v>
      </c>
      <c r="F9" s="257">
        <f>D7+D8+D9+D6</f>
        <v>0</v>
      </c>
      <c r="G9" s="286">
        <f>SUM(E6:E9)</f>
        <v>1288000.0000000002</v>
      </c>
      <c r="H9" s="292">
        <v>3000000</v>
      </c>
      <c r="I9" s="292">
        <v>1155000</v>
      </c>
      <c r="J9" s="311">
        <f>H9+F9</f>
        <v>3000000</v>
      </c>
      <c r="K9" s="311">
        <f>I9+G9</f>
        <v>2443000</v>
      </c>
    </row>
    <row r="10" spans="1:11" ht="15">
      <c r="A10" s="243" t="s">
        <v>12</v>
      </c>
      <c r="B10" s="244">
        <v>90</v>
      </c>
      <c r="C10" s="245">
        <f t="shared" si="0"/>
        <v>18400000</v>
      </c>
      <c r="D10" s="246"/>
      <c r="E10" s="247">
        <f t="shared" si="1"/>
        <v>322000.00000000006</v>
      </c>
      <c r="F10" s="247"/>
      <c r="G10" s="284"/>
      <c r="H10" s="291"/>
      <c r="I10" s="291"/>
      <c r="J10" s="311">
        <f aca="true" t="shared" si="2" ref="J10:J45">H10+F10</f>
        <v>0</v>
      </c>
      <c r="K10" s="311">
        <f aca="true" t="shared" si="3" ref="K10:K45">I10+G10</f>
        <v>0</v>
      </c>
    </row>
    <row r="11" spans="1:11" ht="15">
      <c r="A11" s="248" t="s">
        <v>13</v>
      </c>
      <c r="B11" s="249">
        <v>90</v>
      </c>
      <c r="C11" s="250">
        <f t="shared" si="0"/>
        <v>18400000</v>
      </c>
      <c r="D11" s="251"/>
      <c r="E11" s="252">
        <f t="shared" si="1"/>
        <v>322000.00000000006</v>
      </c>
      <c r="F11" s="252"/>
      <c r="G11" s="285"/>
      <c r="H11" s="292"/>
      <c r="I11" s="291"/>
      <c r="J11" s="311">
        <f t="shared" si="2"/>
        <v>0</v>
      </c>
      <c r="K11" s="311">
        <f t="shared" si="3"/>
        <v>0</v>
      </c>
    </row>
    <row r="12" spans="1:11" ht="15">
      <c r="A12" s="248" t="s">
        <v>14</v>
      </c>
      <c r="B12" s="249">
        <v>90</v>
      </c>
      <c r="C12" s="250">
        <f t="shared" si="0"/>
        <v>18400000</v>
      </c>
      <c r="D12" s="251"/>
      <c r="E12" s="252">
        <f t="shared" si="1"/>
        <v>322000.00000000006</v>
      </c>
      <c r="F12" s="252"/>
      <c r="G12" s="285"/>
      <c r="H12" s="291"/>
      <c r="I12" s="291"/>
      <c r="J12" s="311">
        <f t="shared" si="2"/>
        <v>0</v>
      </c>
      <c r="K12" s="311">
        <f t="shared" si="3"/>
        <v>0</v>
      </c>
    </row>
    <row r="13" spans="1:11" ht="15.75" thickBot="1">
      <c r="A13" s="253" t="s">
        <v>15</v>
      </c>
      <c r="B13" s="254">
        <v>90</v>
      </c>
      <c r="C13" s="255">
        <f t="shared" si="0"/>
        <v>18400000</v>
      </c>
      <c r="D13" s="256"/>
      <c r="E13" s="257">
        <f t="shared" si="1"/>
        <v>322000.00000000006</v>
      </c>
      <c r="F13" s="257">
        <f>SUM(D10:D13)</f>
        <v>0</v>
      </c>
      <c r="G13" s="286">
        <f>SUM(E10:E13)</f>
        <v>1288000.0000000002</v>
      </c>
      <c r="H13" s="292">
        <v>3000000</v>
      </c>
      <c r="I13" s="292">
        <v>990000</v>
      </c>
      <c r="J13" s="311">
        <f>H13+F13</f>
        <v>3000000</v>
      </c>
      <c r="K13" s="311">
        <f t="shared" si="3"/>
        <v>2278000</v>
      </c>
    </row>
    <row r="14" spans="1:11" ht="15">
      <c r="A14" s="243" t="s">
        <v>16</v>
      </c>
      <c r="B14" s="244">
        <v>90</v>
      </c>
      <c r="C14" s="245">
        <f t="shared" si="0"/>
        <v>18400000</v>
      </c>
      <c r="D14" s="246"/>
      <c r="E14" s="247">
        <f t="shared" si="1"/>
        <v>322000.00000000006</v>
      </c>
      <c r="F14" s="247"/>
      <c r="G14" s="284"/>
      <c r="H14" s="291"/>
      <c r="I14" s="292"/>
      <c r="J14" s="311">
        <f t="shared" si="2"/>
        <v>0</v>
      </c>
      <c r="K14" s="311">
        <f t="shared" si="3"/>
        <v>0</v>
      </c>
    </row>
    <row r="15" spans="1:11" ht="15">
      <c r="A15" s="248" t="s">
        <v>17</v>
      </c>
      <c r="B15" s="249">
        <v>90</v>
      </c>
      <c r="C15" s="250">
        <f t="shared" si="0"/>
        <v>18400000</v>
      </c>
      <c r="D15" s="251"/>
      <c r="E15" s="252">
        <f t="shared" si="1"/>
        <v>322000.00000000006</v>
      </c>
      <c r="F15" s="252"/>
      <c r="G15" s="285"/>
      <c r="H15" s="292"/>
      <c r="I15" s="291"/>
      <c r="J15" s="311">
        <f t="shared" si="2"/>
        <v>0</v>
      </c>
      <c r="K15" s="311">
        <f t="shared" si="3"/>
        <v>0</v>
      </c>
    </row>
    <row r="16" spans="1:11" ht="15">
      <c r="A16" s="248" t="s">
        <v>18</v>
      </c>
      <c r="B16" s="249">
        <v>90</v>
      </c>
      <c r="C16" s="250">
        <f t="shared" si="0"/>
        <v>18400000</v>
      </c>
      <c r="D16" s="251"/>
      <c r="E16" s="252">
        <f t="shared" si="1"/>
        <v>322000.00000000006</v>
      </c>
      <c r="F16" s="252"/>
      <c r="G16" s="285"/>
      <c r="H16" s="291"/>
      <c r="I16" s="291"/>
      <c r="J16" s="311">
        <f t="shared" si="2"/>
        <v>0</v>
      </c>
      <c r="K16" s="311">
        <f t="shared" si="3"/>
        <v>0</v>
      </c>
    </row>
    <row r="17" spans="1:11" ht="15.75" thickBot="1">
      <c r="A17" s="253" t="s">
        <v>19</v>
      </c>
      <c r="B17" s="254">
        <v>90</v>
      </c>
      <c r="C17" s="255">
        <f t="shared" si="0"/>
        <v>18400000</v>
      </c>
      <c r="D17" s="256"/>
      <c r="E17" s="257">
        <f t="shared" si="1"/>
        <v>322000.00000000006</v>
      </c>
      <c r="F17" s="257">
        <f>SUM(D14:D17)</f>
        <v>0</v>
      </c>
      <c r="G17" s="286">
        <f>SUM(E14:E17)</f>
        <v>1288000.0000000002</v>
      </c>
      <c r="H17" s="292">
        <v>3000000</v>
      </c>
      <c r="I17" s="292">
        <v>825000</v>
      </c>
      <c r="J17" s="311">
        <f t="shared" si="2"/>
        <v>3000000</v>
      </c>
      <c r="K17" s="311">
        <f t="shared" si="3"/>
        <v>2113000</v>
      </c>
    </row>
    <row r="18" spans="1:30" ht="15">
      <c r="A18" s="243" t="s">
        <v>20</v>
      </c>
      <c r="B18" s="244">
        <v>90</v>
      </c>
      <c r="C18" s="245">
        <f t="shared" si="0"/>
        <v>18400000</v>
      </c>
      <c r="D18" s="246"/>
      <c r="E18" s="247">
        <f t="shared" si="1"/>
        <v>322000.00000000006</v>
      </c>
      <c r="F18" s="247"/>
      <c r="G18" s="284"/>
      <c r="H18" s="291"/>
      <c r="I18" s="291"/>
      <c r="J18" s="311">
        <f t="shared" si="2"/>
        <v>0</v>
      </c>
      <c r="K18" s="311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248" t="s">
        <v>21</v>
      </c>
      <c r="B19" s="249">
        <v>90</v>
      </c>
      <c r="C19" s="250">
        <f t="shared" si="0"/>
        <v>18400000</v>
      </c>
      <c r="D19" s="251"/>
      <c r="E19" s="252">
        <f t="shared" si="1"/>
        <v>322000.00000000006</v>
      </c>
      <c r="F19" s="252"/>
      <c r="G19" s="285"/>
      <c r="H19" s="292"/>
      <c r="I19" s="291"/>
      <c r="J19" s="311">
        <f t="shared" si="2"/>
        <v>0</v>
      </c>
      <c r="K19" s="311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258" t="s">
        <v>22</v>
      </c>
      <c r="B20" s="259">
        <v>90</v>
      </c>
      <c r="C20" s="250">
        <f t="shared" si="0"/>
        <v>18400000</v>
      </c>
      <c r="D20" s="251"/>
      <c r="E20" s="252">
        <f t="shared" si="1"/>
        <v>322000.00000000006</v>
      </c>
      <c r="F20" s="260"/>
      <c r="G20" s="287"/>
      <c r="H20" s="294"/>
      <c r="I20" s="295"/>
      <c r="J20" s="311">
        <f t="shared" si="2"/>
        <v>0</v>
      </c>
      <c r="K20" s="311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261" t="s">
        <v>23</v>
      </c>
      <c r="B21" s="262">
        <v>90</v>
      </c>
      <c r="C21" s="255">
        <f t="shared" si="0"/>
        <v>18400000</v>
      </c>
      <c r="D21" s="256"/>
      <c r="E21" s="257">
        <f t="shared" si="1"/>
        <v>322000.00000000006</v>
      </c>
      <c r="F21" s="263">
        <f>SUM(D18:D21)</f>
        <v>0</v>
      </c>
      <c r="G21" s="288">
        <f>SUM(E18:E21)</f>
        <v>1288000.0000000002</v>
      </c>
      <c r="H21" s="292">
        <v>3000000</v>
      </c>
      <c r="I21" s="296">
        <v>660000</v>
      </c>
      <c r="J21" s="311">
        <f t="shared" si="2"/>
        <v>3000000</v>
      </c>
      <c r="K21" s="311">
        <f t="shared" si="3"/>
        <v>1948000.0000000002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243" t="s">
        <v>24</v>
      </c>
      <c r="B22" s="244">
        <v>90</v>
      </c>
      <c r="C22" s="245">
        <f t="shared" si="0"/>
        <v>18400000</v>
      </c>
      <c r="D22" s="246"/>
      <c r="E22" s="247">
        <f t="shared" si="1"/>
        <v>322000.00000000006</v>
      </c>
      <c r="F22" s="247"/>
      <c r="G22" s="284"/>
      <c r="H22" s="291"/>
      <c r="I22" s="291"/>
      <c r="J22" s="311">
        <f t="shared" si="2"/>
        <v>0</v>
      </c>
      <c r="K22" s="311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248" t="s">
        <v>25</v>
      </c>
      <c r="B23" s="249">
        <v>90</v>
      </c>
      <c r="C23" s="250">
        <f t="shared" si="0"/>
        <v>18400000</v>
      </c>
      <c r="D23" s="251"/>
      <c r="E23" s="252">
        <f t="shared" si="1"/>
        <v>322000.00000000006</v>
      </c>
      <c r="F23" s="252"/>
      <c r="G23" s="285"/>
      <c r="H23" s="292"/>
      <c r="I23" s="291"/>
      <c r="J23" s="311">
        <f t="shared" si="2"/>
        <v>0</v>
      </c>
      <c r="K23" s="311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248" t="s">
        <v>26</v>
      </c>
      <c r="B24" s="249">
        <v>90</v>
      </c>
      <c r="C24" s="250">
        <f t="shared" si="0"/>
        <v>18400000</v>
      </c>
      <c r="D24" s="251"/>
      <c r="E24" s="252">
        <f t="shared" si="1"/>
        <v>322000.00000000006</v>
      </c>
      <c r="F24" s="252"/>
      <c r="G24" s="285"/>
      <c r="H24" s="291"/>
      <c r="I24" s="291"/>
      <c r="J24" s="311">
        <f t="shared" si="2"/>
        <v>0</v>
      </c>
      <c r="K24" s="311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253" t="s">
        <v>27</v>
      </c>
      <c r="B25" s="254">
        <v>90</v>
      </c>
      <c r="C25" s="255">
        <f t="shared" si="0"/>
        <v>18400000</v>
      </c>
      <c r="D25" s="256"/>
      <c r="E25" s="257">
        <f t="shared" si="1"/>
        <v>322000.00000000006</v>
      </c>
      <c r="F25" s="257">
        <f>SUM(D22:D25)</f>
        <v>0</v>
      </c>
      <c r="G25" s="286">
        <f>SUM(E22:E25)</f>
        <v>1288000.0000000002</v>
      </c>
      <c r="H25" s="292">
        <v>3000000</v>
      </c>
      <c r="I25" s="292">
        <v>495000</v>
      </c>
      <c r="J25" s="311">
        <f t="shared" si="2"/>
        <v>3000000</v>
      </c>
      <c r="K25" s="311">
        <f t="shared" si="3"/>
        <v>1783000.0000000002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270" t="s">
        <v>28</v>
      </c>
      <c r="B26" s="271">
        <v>90</v>
      </c>
      <c r="C26" s="272">
        <f t="shared" si="0"/>
        <v>18400000</v>
      </c>
      <c r="D26" s="246"/>
      <c r="E26" s="247">
        <f t="shared" si="1"/>
        <v>322000.00000000006</v>
      </c>
      <c r="F26" s="273"/>
      <c r="G26" s="289"/>
      <c r="H26" s="295"/>
      <c r="I26" s="295"/>
      <c r="J26" s="311">
        <f t="shared" si="2"/>
        <v>0</v>
      </c>
      <c r="K26" s="311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258" t="s">
        <v>29</v>
      </c>
      <c r="B27" s="259">
        <v>90</v>
      </c>
      <c r="C27" s="274">
        <f t="shared" si="0"/>
        <v>18400000</v>
      </c>
      <c r="D27" s="251"/>
      <c r="E27" s="252">
        <f t="shared" si="1"/>
        <v>322000.00000000006</v>
      </c>
      <c r="F27" s="260"/>
      <c r="G27" s="287"/>
      <c r="H27" s="296"/>
      <c r="I27" s="295"/>
      <c r="J27" s="311">
        <f t="shared" si="2"/>
        <v>0</v>
      </c>
      <c r="K27" s="311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258" t="s">
        <v>30</v>
      </c>
      <c r="B28" s="259">
        <v>90</v>
      </c>
      <c r="C28" s="274">
        <f t="shared" si="0"/>
        <v>18400000</v>
      </c>
      <c r="D28" s="251"/>
      <c r="E28" s="252">
        <f t="shared" si="1"/>
        <v>322000.00000000006</v>
      </c>
      <c r="F28" s="260"/>
      <c r="G28" s="287"/>
      <c r="H28" s="295"/>
      <c r="I28" s="295"/>
      <c r="J28" s="311">
        <f t="shared" si="2"/>
        <v>0</v>
      </c>
      <c r="K28" s="311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264" t="s">
        <v>31</v>
      </c>
      <c r="B29" s="265">
        <v>90</v>
      </c>
      <c r="C29" s="279">
        <f t="shared" si="0"/>
        <v>18400000</v>
      </c>
      <c r="D29" s="267"/>
      <c r="E29" s="268">
        <f t="shared" si="1"/>
        <v>322000.00000000006</v>
      </c>
      <c r="F29" s="269">
        <f>SUM(D26:D29)</f>
        <v>0</v>
      </c>
      <c r="G29" s="290">
        <f>SUM(E26:E29)</f>
        <v>1288000.0000000002</v>
      </c>
      <c r="H29" s="292">
        <v>3000000</v>
      </c>
      <c r="I29" s="296">
        <v>360000</v>
      </c>
      <c r="J29" s="311">
        <f t="shared" si="2"/>
        <v>3000000</v>
      </c>
      <c r="K29" s="311">
        <f t="shared" si="3"/>
        <v>1648000.0000000002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243" t="s">
        <v>32</v>
      </c>
      <c r="B30" s="244">
        <v>90</v>
      </c>
      <c r="C30" s="245">
        <f t="shared" si="0"/>
        <v>18400000</v>
      </c>
      <c r="D30" s="246">
        <v>500000</v>
      </c>
      <c r="E30" s="247">
        <f t="shared" si="1"/>
        <v>322000.00000000006</v>
      </c>
      <c r="F30" s="247"/>
      <c r="G30" s="284"/>
      <c r="H30" s="297"/>
      <c r="I30" s="291"/>
      <c r="J30" s="311">
        <f t="shared" si="2"/>
        <v>0</v>
      </c>
      <c r="K30" s="311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248" t="s">
        <v>33</v>
      </c>
      <c r="B31" s="249">
        <v>90</v>
      </c>
      <c r="C31" s="250">
        <f t="shared" si="0"/>
        <v>17900000</v>
      </c>
      <c r="D31" s="251">
        <v>500000</v>
      </c>
      <c r="E31" s="252">
        <f t="shared" si="1"/>
        <v>313250.00000000006</v>
      </c>
      <c r="F31" s="252"/>
      <c r="G31" s="285"/>
      <c r="H31" s="292"/>
      <c r="I31" s="291"/>
      <c r="J31" s="311">
        <f t="shared" si="2"/>
        <v>0</v>
      </c>
      <c r="K31" s="311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248" t="s">
        <v>34</v>
      </c>
      <c r="B32" s="249">
        <v>90</v>
      </c>
      <c r="C32" s="250">
        <f t="shared" si="0"/>
        <v>17400000</v>
      </c>
      <c r="D32" s="251">
        <v>500000</v>
      </c>
      <c r="E32" s="252">
        <f t="shared" si="1"/>
        <v>304500.00000000006</v>
      </c>
      <c r="F32" s="252"/>
      <c r="G32" s="285"/>
      <c r="H32" s="291"/>
      <c r="I32" s="291"/>
      <c r="J32" s="311">
        <f t="shared" si="2"/>
        <v>0</v>
      </c>
      <c r="K32" s="311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253" t="s">
        <v>35</v>
      </c>
      <c r="B33" s="254">
        <v>90</v>
      </c>
      <c r="C33" s="255">
        <f t="shared" si="0"/>
        <v>16900000</v>
      </c>
      <c r="D33" s="256">
        <v>500000</v>
      </c>
      <c r="E33" s="257">
        <f t="shared" si="1"/>
        <v>295750.00000000006</v>
      </c>
      <c r="F33" s="257">
        <f>SUM(D30:D33)</f>
        <v>2000000</v>
      </c>
      <c r="G33" s="286">
        <f>SUM(E30:E33)</f>
        <v>1235500.0000000002</v>
      </c>
      <c r="H33" s="292">
        <v>3000000</v>
      </c>
      <c r="I33" s="292">
        <v>180000</v>
      </c>
      <c r="J33" s="311">
        <f t="shared" si="2"/>
        <v>5000000</v>
      </c>
      <c r="K33" s="311">
        <f t="shared" si="3"/>
        <v>1415500.0000000002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270" t="s">
        <v>36</v>
      </c>
      <c r="B34" s="271">
        <v>90</v>
      </c>
      <c r="C34" s="272">
        <f t="shared" si="0"/>
        <v>16400000</v>
      </c>
      <c r="D34" s="276">
        <v>1475000</v>
      </c>
      <c r="E34" s="273">
        <f t="shared" si="1"/>
        <v>287000.00000000006</v>
      </c>
      <c r="F34" s="273"/>
      <c r="G34" s="289"/>
      <c r="H34" s="295"/>
      <c r="I34" s="295"/>
      <c r="J34" s="311">
        <f t="shared" si="2"/>
        <v>0</v>
      </c>
      <c r="K34" s="311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258" t="s">
        <v>37</v>
      </c>
      <c r="B35" s="259">
        <v>90</v>
      </c>
      <c r="C35" s="274">
        <f t="shared" si="0"/>
        <v>14925000</v>
      </c>
      <c r="D35" s="277">
        <f>D34</f>
        <v>1475000</v>
      </c>
      <c r="E35" s="260">
        <f t="shared" si="1"/>
        <v>261187.50000000003</v>
      </c>
      <c r="F35" s="260"/>
      <c r="G35" s="287"/>
      <c r="H35" s="296"/>
      <c r="I35" s="295"/>
      <c r="J35" s="311">
        <f t="shared" si="2"/>
        <v>0</v>
      </c>
      <c r="K35" s="311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258" t="s">
        <v>38</v>
      </c>
      <c r="B36" s="259">
        <v>90</v>
      </c>
      <c r="C36" s="274">
        <f t="shared" si="0"/>
        <v>13450000</v>
      </c>
      <c r="D36" s="277">
        <v>1725000</v>
      </c>
      <c r="E36" s="260">
        <f t="shared" si="1"/>
        <v>235375.00000000003</v>
      </c>
      <c r="F36" s="260"/>
      <c r="G36" s="287"/>
      <c r="H36" s="295"/>
      <c r="I36" s="295"/>
      <c r="J36" s="311">
        <f t="shared" si="2"/>
        <v>0</v>
      </c>
      <c r="K36" s="311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261" t="s">
        <v>39</v>
      </c>
      <c r="B37" s="262">
        <v>90</v>
      </c>
      <c r="C37" s="275">
        <f t="shared" si="0"/>
        <v>11725000</v>
      </c>
      <c r="D37" s="278">
        <v>1925000</v>
      </c>
      <c r="E37" s="263">
        <f t="shared" si="1"/>
        <v>205187.5</v>
      </c>
      <c r="F37" s="263">
        <f>SUM(D34:D37)</f>
        <v>6600000</v>
      </c>
      <c r="G37" s="288">
        <f>SUM(E34:E37)</f>
        <v>988750.0000000001</v>
      </c>
      <c r="H37" s="292"/>
      <c r="I37" s="295"/>
      <c r="J37" s="311">
        <f t="shared" si="2"/>
        <v>6600000</v>
      </c>
      <c r="K37" s="311">
        <f t="shared" si="3"/>
        <v>988750.0000000001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243" t="s">
        <v>40</v>
      </c>
      <c r="B38" s="244">
        <v>90</v>
      </c>
      <c r="C38" s="245">
        <f t="shared" si="0"/>
        <v>9800000</v>
      </c>
      <c r="D38" s="276">
        <v>1250000</v>
      </c>
      <c r="E38" s="247">
        <f>B38*C38*0.07/360</f>
        <v>171500.00000000003</v>
      </c>
      <c r="F38" s="247"/>
      <c r="G38" s="284"/>
      <c r="H38" s="291"/>
      <c r="I38" s="291"/>
      <c r="J38" s="311">
        <f t="shared" si="2"/>
        <v>0</v>
      </c>
      <c r="K38" s="311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248" t="s">
        <v>41</v>
      </c>
      <c r="B39" s="249">
        <v>90</v>
      </c>
      <c r="C39" s="250">
        <f t="shared" si="0"/>
        <v>8550000</v>
      </c>
      <c r="D39" s="277">
        <f>D38</f>
        <v>1250000</v>
      </c>
      <c r="E39" s="252">
        <f t="shared" si="1"/>
        <v>149625.00000000003</v>
      </c>
      <c r="F39" s="252"/>
      <c r="G39" s="285"/>
      <c r="H39" s="292"/>
      <c r="I39" s="291"/>
      <c r="J39" s="311">
        <f t="shared" si="2"/>
        <v>0</v>
      </c>
      <c r="K39" s="311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248" t="s">
        <v>42</v>
      </c>
      <c r="B40" s="249">
        <v>90</v>
      </c>
      <c r="C40" s="250">
        <f t="shared" si="0"/>
        <v>7300000</v>
      </c>
      <c r="D40" s="277">
        <v>1500000</v>
      </c>
      <c r="E40" s="252">
        <f t="shared" si="1"/>
        <v>127750.00000000001</v>
      </c>
      <c r="F40" s="252"/>
      <c r="G40" s="285"/>
      <c r="H40" s="291"/>
      <c r="I40" s="291"/>
      <c r="J40" s="311">
        <f t="shared" si="2"/>
        <v>0</v>
      </c>
      <c r="K40" s="311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253" t="s">
        <v>43</v>
      </c>
      <c r="B41" s="254">
        <v>90</v>
      </c>
      <c r="C41" s="255">
        <f aca="true" t="shared" si="4" ref="C41:C49">C40-D40</f>
        <v>5800000</v>
      </c>
      <c r="D41" s="278">
        <v>1700000</v>
      </c>
      <c r="E41" s="257">
        <f t="shared" si="1"/>
        <v>101500</v>
      </c>
      <c r="F41" s="257">
        <f>SUM(D38:D41)</f>
        <v>5700000</v>
      </c>
      <c r="G41" s="286">
        <f>SUM(E38:E41)</f>
        <v>550375</v>
      </c>
      <c r="H41" s="292"/>
      <c r="I41" s="291"/>
      <c r="J41" s="311">
        <f t="shared" si="2"/>
        <v>5700000</v>
      </c>
      <c r="K41" s="311">
        <f t="shared" si="3"/>
        <v>550375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243" t="s">
        <v>44</v>
      </c>
      <c r="B42" s="244">
        <v>90</v>
      </c>
      <c r="C42" s="245">
        <f t="shared" si="4"/>
        <v>4100000</v>
      </c>
      <c r="D42" s="276">
        <v>1100000</v>
      </c>
      <c r="E42" s="247">
        <f aca="true" t="shared" si="5" ref="E42:E49">B42*C42*0.07/360</f>
        <v>71750.00000000001</v>
      </c>
      <c r="F42" s="247"/>
      <c r="G42" s="284"/>
      <c r="H42" s="291"/>
      <c r="I42" s="291"/>
      <c r="J42" s="311">
        <f t="shared" si="2"/>
        <v>0</v>
      </c>
      <c r="K42" s="311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248" t="s">
        <v>45</v>
      </c>
      <c r="B43" s="249">
        <v>90</v>
      </c>
      <c r="C43" s="250">
        <f t="shared" si="4"/>
        <v>3000000</v>
      </c>
      <c r="D43" s="277">
        <v>1000000</v>
      </c>
      <c r="E43" s="252">
        <f t="shared" si="5"/>
        <v>52500</v>
      </c>
      <c r="F43" s="252"/>
      <c r="G43" s="285"/>
      <c r="H43" s="292"/>
      <c r="I43" s="291"/>
      <c r="J43" s="311">
        <f t="shared" si="2"/>
        <v>0</v>
      </c>
      <c r="K43" s="311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248" t="s">
        <v>46</v>
      </c>
      <c r="B44" s="249">
        <v>90</v>
      </c>
      <c r="C44" s="250">
        <f t="shared" si="4"/>
        <v>2000000</v>
      </c>
      <c r="D44" s="277">
        <v>1000000</v>
      </c>
      <c r="E44" s="252">
        <f t="shared" si="5"/>
        <v>35000.00000000001</v>
      </c>
      <c r="F44" s="252"/>
      <c r="G44" s="285"/>
      <c r="H44" s="291"/>
      <c r="I44" s="291"/>
      <c r="J44" s="311">
        <f t="shared" si="2"/>
        <v>0</v>
      </c>
      <c r="K44" s="311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253" t="s">
        <v>47</v>
      </c>
      <c r="B45" s="254">
        <v>90</v>
      </c>
      <c r="C45" s="255">
        <f t="shared" si="4"/>
        <v>1000000</v>
      </c>
      <c r="D45" s="278">
        <v>1000000</v>
      </c>
      <c r="E45" s="257">
        <f t="shared" si="5"/>
        <v>17500.000000000004</v>
      </c>
      <c r="F45" s="257">
        <f>SUM(D42:D45)</f>
        <v>4100000</v>
      </c>
      <c r="G45" s="286">
        <f>SUM(E42:E45)</f>
        <v>176750.00000000003</v>
      </c>
      <c r="H45" s="291"/>
      <c r="I45" s="291"/>
      <c r="J45" s="311">
        <f t="shared" si="2"/>
        <v>4100000</v>
      </c>
      <c r="K45" s="311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">
      <c r="A46" s="243" t="s">
        <v>44</v>
      </c>
      <c r="B46" s="244">
        <v>90</v>
      </c>
      <c r="C46" s="245">
        <f t="shared" si="4"/>
        <v>0</v>
      </c>
      <c r="D46" s="276"/>
      <c r="E46" s="247">
        <f t="shared" si="5"/>
        <v>0</v>
      </c>
      <c r="F46" s="247"/>
      <c r="G46" s="284"/>
      <c r="H46" s="291"/>
      <c r="I46" s="291"/>
      <c r="J46" s="311">
        <f aca="true" t="shared" si="6" ref="J46:K49">H46+F46</f>
        <v>0</v>
      </c>
      <c r="K46" s="311">
        <f t="shared" si="6"/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">
      <c r="A47" s="248" t="s">
        <v>45</v>
      </c>
      <c r="B47" s="249">
        <v>90</v>
      </c>
      <c r="C47" s="250">
        <f t="shared" si="4"/>
        <v>0</v>
      </c>
      <c r="D47" s="277"/>
      <c r="E47" s="252">
        <f t="shared" si="5"/>
        <v>0</v>
      </c>
      <c r="F47" s="252"/>
      <c r="G47" s="285"/>
      <c r="H47" s="292"/>
      <c r="I47" s="291"/>
      <c r="J47" s="311">
        <f t="shared" si="6"/>
        <v>0</v>
      </c>
      <c r="K47" s="311">
        <f t="shared" si="6"/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">
      <c r="A48" s="248" t="s">
        <v>46</v>
      </c>
      <c r="B48" s="249">
        <v>90</v>
      </c>
      <c r="C48" s="250">
        <f t="shared" si="4"/>
        <v>0</v>
      </c>
      <c r="D48" s="277"/>
      <c r="E48" s="252">
        <f t="shared" si="5"/>
        <v>0</v>
      </c>
      <c r="F48" s="252"/>
      <c r="G48" s="285"/>
      <c r="H48" s="291"/>
      <c r="I48" s="291"/>
      <c r="J48" s="311">
        <f t="shared" si="6"/>
        <v>0</v>
      </c>
      <c r="K48" s="311">
        <f t="shared" si="6"/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thickBot="1">
      <c r="A49" s="253" t="s">
        <v>47</v>
      </c>
      <c r="B49" s="254">
        <v>90</v>
      </c>
      <c r="C49" s="255">
        <f t="shared" si="4"/>
        <v>0</v>
      </c>
      <c r="D49" s="278"/>
      <c r="E49" s="257">
        <f t="shared" si="5"/>
        <v>0</v>
      </c>
      <c r="F49" s="257">
        <f>SUM(D46:D49)</f>
        <v>0</v>
      </c>
      <c r="G49" s="286">
        <f>SUM(E46:E49)</f>
        <v>0</v>
      </c>
      <c r="H49" s="291"/>
      <c r="I49" s="291"/>
      <c r="J49" s="311">
        <f t="shared" si="6"/>
        <v>0</v>
      </c>
      <c r="K49" s="311">
        <f t="shared" si="6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4:30" ht="12.75">
      <c r="D50" s="14">
        <f>SUM(D6:D49)</f>
        <v>18400000</v>
      </c>
      <c r="F50" s="14">
        <f aca="true" t="shared" si="7" ref="F50:K50">SUM(F9+F13+F17+F21+F25++F29+F33+F37+F41+F45+F4)</f>
        <v>18400000</v>
      </c>
      <c r="G50" s="14">
        <f t="shared" si="7"/>
        <v>10679375.000000002</v>
      </c>
      <c r="H50" s="14">
        <f t="shared" si="7"/>
        <v>23000000</v>
      </c>
      <c r="I50" s="14">
        <f t="shared" si="7"/>
        <v>5930000</v>
      </c>
      <c r="J50" s="14">
        <f>SUM(J9+J13+J17+J21+J25++J29+J33+J37+J41+J45+J4+J49)</f>
        <v>41400000</v>
      </c>
      <c r="K50" s="14">
        <f t="shared" si="7"/>
        <v>16609375</v>
      </c>
      <c r="L50" s="19"/>
      <c r="M50" s="30">
        <f>H50+F50</f>
        <v>41400000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6:30" ht="12.75">
      <c r="F51" s="14"/>
      <c r="H51" s="14"/>
      <c r="J51" s="323"/>
      <c r="K51" s="32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2:30" ht="12.75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zoomScale="90" zoomScaleNormal="90" zoomScalePageLayoutView="0" workbookViewId="0" topLeftCell="A1">
      <selection activeCell="J45" sqref="J45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1" width="10.28125" style="19" customWidth="1"/>
    <col min="12" max="36" width="9.00390625" style="19" customWidth="1"/>
  </cols>
  <sheetData>
    <row r="1" spans="1:7" ht="23.25" customHeight="1">
      <c r="A1" s="523" t="s">
        <v>229</v>
      </c>
      <c r="B1" s="523"/>
      <c r="C1" s="523"/>
      <c r="D1" s="523"/>
      <c r="E1" s="523"/>
      <c r="F1" s="523"/>
      <c r="G1" s="523"/>
    </row>
    <row r="2" spans="1:11" ht="8.25" customHeight="1" thickBot="1">
      <c r="A2" s="20"/>
      <c r="B2" s="21"/>
      <c r="C2" s="22"/>
      <c r="D2" s="22"/>
      <c r="E2" s="22"/>
      <c r="F2" s="22"/>
      <c r="G2" s="22"/>
      <c r="J2" s="533" t="s">
        <v>224</v>
      </c>
      <c r="K2" s="533"/>
    </row>
    <row r="3" spans="1:11" ht="30.75" customHeight="1" thickBot="1">
      <c r="A3" s="3" t="s">
        <v>0</v>
      </c>
      <c r="B3" s="4"/>
      <c r="C3" s="5" t="s">
        <v>1</v>
      </c>
      <c r="D3" s="5" t="s">
        <v>2</v>
      </c>
      <c r="E3" s="23" t="s">
        <v>3</v>
      </c>
      <c r="F3" s="5" t="s">
        <v>4</v>
      </c>
      <c r="G3" s="325" t="s">
        <v>5</v>
      </c>
      <c r="H3" s="336" t="s">
        <v>223</v>
      </c>
      <c r="I3" s="337" t="s">
        <v>3</v>
      </c>
      <c r="J3" s="310" t="s">
        <v>225</v>
      </c>
      <c r="K3" s="310" t="s">
        <v>3</v>
      </c>
    </row>
    <row r="4" spans="1:11" ht="15">
      <c r="A4" s="9" t="s">
        <v>6</v>
      </c>
      <c r="B4" s="10">
        <v>90</v>
      </c>
      <c r="C4" s="11">
        <v>0</v>
      </c>
      <c r="D4" s="24">
        <v>0</v>
      </c>
      <c r="E4" s="25">
        <v>0</v>
      </c>
      <c r="F4" s="25">
        <v>0</v>
      </c>
      <c r="G4" s="326"/>
      <c r="H4" s="338">
        <v>2141585</v>
      </c>
      <c r="I4" s="339">
        <v>733601</v>
      </c>
      <c r="J4" s="311">
        <f>H4+'spł poż'!F8</f>
        <v>2191585</v>
      </c>
      <c r="K4" s="311">
        <f>I4+'spł poż'!G8</f>
        <v>907289</v>
      </c>
    </row>
    <row r="5" spans="1:11" ht="0.75" customHeight="1" thickBot="1">
      <c r="A5" s="27" t="s">
        <v>7</v>
      </c>
      <c r="B5" s="15">
        <v>90</v>
      </c>
      <c r="C5" s="28">
        <f>C4</f>
        <v>0</v>
      </c>
      <c r="D5" s="24">
        <v>0</v>
      </c>
      <c r="E5" s="29">
        <f>B5*C5*5.5%/360</f>
        <v>0</v>
      </c>
      <c r="F5" s="29">
        <v>0</v>
      </c>
      <c r="G5" s="327">
        <f>E4+E5</f>
        <v>0</v>
      </c>
      <c r="H5" s="340"/>
      <c r="I5" s="341"/>
      <c r="J5" s="312"/>
      <c r="K5" s="312"/>
    </row>
    <row r="6" spans="1:36" s="2" customFormat="1" ht="15">
      <c r="A6" s="243" t="s">
        <v>8</v>
      </c>
      <c r="B6" s="244">
        <v>90</v>
      </c>
      <c r="C6" s="245">
        <f>C5-D5</f>
        <v>0</v>
      </c>
      <c r="D6" s="245">
        <v>0</v>
      </c>
      <c r="E6" s="298">
        <f>B6*C6*5.5%/360</f>
        <v>0</v>
      </c>
      <c r="F6" s="298"/>
      <c r="G6" s="328"/>
      <c r="H6" s="342"/>
      <c r="I6" s="343"/>
      <c r="J6" s="313"/>
      <c r="K6" s="313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11" ht="15">
      <c r="A7" s="248" t="s">
        <v>9</v>
      </c>
      <c r="B7" s="249">
        <v>90</v>
      </c>
      <c r="C7" s="250">
        <f>C6-D6</f>
        <v>0</v>
      </c>
      <c r="D7" s="250">
        <v>0</v>
      </c>
      <c r="E7" s="299">
        <f>B7*C7*5.5%/360</f>
        <v>0</v>
      </c>
      <c r="F7" s="299"/>
      <c r="G7" s="329"/>
      <c r="H7" s="340"/>
      <c r="I7" s="341"/>
      <c r="J7" s="314"/>
      <c r="K7" s="314"/>
    </row>
    <row r="8" spans="1:11" ht="15">
      <c r="A8" s="248" t="s">
        <v>10</v>
      </c>
      <c r="B8" s="249">
        <v>90</v>
      </c>
      <c r="C8" s="250">
        <f>C7-D7</f>
        <v>0</v>
      </c>
      <c r="D8" s="250">
        <v>0</v>
      </c>
      <c r="E8" s="299">
        <f>B8*C8*5.5%/360</f>
        <v>0</v>
      </c>
      <c r="F8" s="299"/>
      <c r="G8" s="329"/>
      <c r="H8" s="340"/>
      <c r="I8" s="341"/>
      <c r="J8" s="314"/>
      <c r="K8" s="314"/>
    </row>
    <row r="9" spans="1:11" ht="15.75" thickBot="1">
      <c r="A9" s="253" t="s">
        <v>11</v>
      </c>
      <c r="B9" s="254">
        <v>90</v>
      </c>
      <c r="C9" s="255"/>
      <c r="D9" s="255">
        <v>0</v>
      </c>
      <c r="E9" s="300"/>
      <c r="F9" s="301">
        <f>D7+D8+D9</f>
        <v>0</v>
      </c>
      <c r="G9" s="330"/>
      <c r="H9" s="344">
        <v>3485040</v>
      </c>
      <c r="I9" s="345">
        <v>697952</v>
      </c>
      <c r="J9" s="315">
        <f>H9+F9+'spł poż'!F8</f>
        <v>3535040</v>
      </c>
      <c r="K9" s="315">
        <f>I9+G9+'spł poż'!G8</f>
        <v>871640</v>
      </c>
    </row>
    <row r="10" spans="1:11" ht="15">
      <c r="A10" s="243" t="s">
        <v>12</v>
      </c>
      <c r="B10" s="244">
        <v>90</v>
      </c>
      <c r="C10" s="245">
        <f>C9-D9</f>
        <v>0</v>
      </c>
      <c r="D10" s="245"/>
      <c r="E10" s="298">
        <f>B10*C10*0.07/360</f>
        <v>0</v>
      </c>
      <c r="F10" s="298"/>
      <c r="G10" s="328"/>
      <c r="H10" s="340"/>
      <c r="I10" s="341"/>
      <c r="J10" s="316">
        <f>H10+F10+'spł poż'!F9</f>
        <v>0</v>
      </c>
      <c r="K10" s="316">
        <f>I10+G10+'spł poż'!G9</f>
        <v>0</v>
      </c>
    </row>
    <row r="11" spans="1:11" ht="15">
      <c r="A11" s="248" t="s">
        <v>13</v>
      </c>
      <c r="B11" s="249">
        <v>90</v>
      </c>
      <c r="C11" s="250">
        <f aca="true" t="shared" si="0" ref="C11:C44">C10-D10</f>
        <v>0</v>
      </c>
      <c r="D11" s="250"/>
      <c r="E11" s="299">
        <f aca="true" t="shared" si="1" ref="E11:E41">B11*C11*0.07/360</f>
        <v>0</v>
      </c>
      <c r="F11" s="299"/>
      <c r="G11" s="329"/>
      <c r="H11" s="340"/>
      <c r="I11" s="341"/>
      <c r="J11" s="317">
        <f>H11+F11+'spł poż'!F10</f>
        <v>0</v>
      </c>
      <c r="K11" s="317">
        <f>I11+G11+'spł poż'!G10</f>
        <v>0</v>
      </c>
    </row>
    <row r="12" spans="1:11" ht="15">
      <c r="A12" s="248" t="s">
        <v>14</v>
      </c>
      <c r="B12" s="249">
        <v>90</v>
      </c>
      <c r="C12" s="250">
        <f t="shared" si="0"/>
        <v>0</v>
      </c>
      <c r="D12" s="250"/>
      <c r="E12" s="299">
        <f t="shared" si="1"/>
        <v>0</v>
      </c>
      <c r="F12" s="299"/>
      <c r="G12" s="329"/>
      <c r="H12" s="340"/>
      <c r="I12" s="341"/>
      <c r="J12" s="317">
        <f>H12+F12+'spł poż'!F11</f>
        <v>0</v>
      </c>
      <c r="K12" s="317">
        <f>I12+G12+'spł poż'!G11</f>
        <v>0</v>
      </c>
    </row>
    <row r="13" spans="1:11" ht="15.75" thickBot="1">
      <c r="A13" s="253" t="s">
        <v>15</v>
      </c>
      <c r="B13" s="254">
        <v>90</v>
      </c>
      <c r="C13" s="255">
        <f t="shared" si="0"/>
        <v>0</v>
      </c>
      <c r="D13" s="255"/>
      <c r="E13" s="301">
        <f t="shared" si="1"/>
        <v>0</v>
      </c>
      <c r="F13" s="301">
        <f>SUM(D10:D13)</f>
        <v>0</v>
      </c>
      <c r="G13" s="330">
        <f>SUM(E10:E13)</f>
        <v>0</v>
      </c>
      <c r="H13" s="344">
        <v>3616899</v>
      </c>
      <c r="I13" s="345">
        <v>575506</v>
      </c>
      <c r="J13" s="315">
        <f>H13+F13+'spł poż'!F12</f>
        <v>3666899</v>
      </c>
      <c r="K13" s="315">
        <f>I13+G13+'spł poż'!G12</f>
        <v>745694</v>
      </c>
    </row>
    <row r="14" spans="1:11" ht="15">
      <c r="A14" s="243" t="s">
        <v>16</v>
      </c>
      <c r="B14" s="244">
        <v>90</v>
      </c>
      <c r="C14" s="245">
        <f t="shared" si="0"/>
        <v>0</v>
      </c>
      <c r="D14" s="245"/>
      <c r="E14" s="298">
        <f t="shared" si="1"/>
        <v>0</v>
      </c>
      <c r="F14" s="298"/>
      <c r="G14" s="328"/>
      <c r="H14" s="340"/>
      <c r="I14" s="341"/>
      <c r="J14" s="316">
        <f>H14+F14+'spł poż'!F13</f>
        <v>0</v>
      </c>
      <c r="K14" s="316">
        <f>I14+G14+'spł poż'!G13</f>
        <v>0</v>
      </c>
    </row>
    <row r="15" spans="1:11" ht="15">
      <c r="A15" s="248" t="s">
        <v>17</v>
      </c>
      <c r="B15" s="249">
        <v>90</v>
      </c>
      <c r="C15" s="250">
        <f t="shared" si="0"/>
        <v>0</v>
      </c>
      <c r="D15" s="250"/>
      <c r="E15" s="299">
        <f t="shared" si="1"/>
        <v>0</v>
      </c>
      <c r="F15" s="299"/>
      <c r="G15" s="329"/>
      <c r="H15" s="340"/>
      <c r="I15" s="341"/>
      <c r="J15" s="317">
        <f>H15+F15+'spł poż'!F14</f>
        <v>0</v>
      </c>
      <c r="K15" s="317">
        <f>I15+G15+'spł poż'!G14</f>
        <v>0</v>
      </c>
    </row>
    <row r="16" spans="1:11" ht="15">
      <c r="A16" s="248" t="s">
        <v>18</v>
      </c>
      <c r="B16" s="249">
        <v>90</v>
      </c>
      <c r="C16" s="250">
        <f t="shared" si="0"/>
        <v>0</v>
      </c>
      <c r="D16" s="250"/>
      <c r="E16" s="299">
        <f t="shared" si="1"/>
        <v>0</v>
      </c>
      <c r="F16" s="299"/>
      <c r="G16" s="329"/>
      <c r="H16" s="340"/>
      <c r="I16" s="341"/>
      <c r="J16" s="317">
        <f>H16+F16+'spł poż'!F15</f>
        <v>0</v>
      </c>
      <c r="K16" s="317">
        <f>I16+G16+'spł poż'!G15</f>
        <v>0</v>
      </c>
    </row>
    <row r="17" spans="1:11" ht="15.75" thickBot="1">
      <c r="A17" s="253" t="s">
        <v>19</v>
      </c>
      <c r="B17" s="254">
        <v>90</v>
      </c>
      <c r="C17" s="255">
        <f t="shared" si="0"/>
        <v>0</v>
      </c>
      <c r="D17" s="255"/>
      <c r="E17" s="301">
        <f t="shared" si="1"/>
        <v>0</v>
      </c>
      <c r="F17" s="301">
        <f>SUM(D14:D17)</f>
        <v>0</v>
      </c>
      <c r="G17" s="330">
        <f>SUM(E14:E17)</f>
        <v>0</v>
      </c>
      <c r="H17" s="344">
        <v>3456453</v>
      </c>
      <c r="I17" s="345">
        <v>349963</v>
      </c>
      <c r="J17" s="315">
        <f>H17+F17+'spł poż'!F16</f>
        <v>3506453</v>
      </c>
      <c r="K17" s="315">
        <f>I17+G17+'spł poż'!G16</f>
        <v>516651</v>
      </c>
    </row>
    <row r="18" spans="1:11" ht="15">
      <c r="A18" s="243" t="s">
        <v>20</v>
      </c>
      <c r="B18" s="244">
        <v>90</v>
      </c>
      <c r="C18" s="245">
        <f t="shared" si="0"/>
        <v>0</v>
      </c>
      <c r="D18" s="245">
        <f>D17</f>
        <v>0</v>
      </c>
      <c r="E18" s="298">
        <f t="shared" si="1"/>
        <v>0</v>
      </c>
      <c r="F18" s="298"/>
      <c r="G18" s="328"/>
      <c r="H18" s="340"/>
      <c r="I18" s="341"/>
      <c r="J18" s="316">
        <f>H18+F18+'spł poż'!F17</f>
        <v>0</v>
      </c>
      <c r="K18" s="316">
        <f>I18+G18+'spł poż'!G17</f>
        <v>0</v>
      </c>
    </row>
    <row r="19" spans="1:11" ht="15">
      <c r="A19" s="248" t="s">
        <v>21</v>
      </c>
      <c r="B19" s="249">
        <v>90</v>
      </c>
      <c r="C19" s="250">
        <f t="shared" si="0"/>
        <v>0</v>
      </c>
      <c r="D19" s="250"/>
      <c r="E19" s="299">
        <f t="shared" si="1"/>
        <v>0</v>
      </c>
      <c r="F19" s="299"/>
      <c r="G19" s="329"/>
      <c r="H19" s="340"/>
      <c r="I19" s="341"/>
      <c r="J19" s="317">
        <f>H19+F19+'spł poż'!F18</f>
        <v>0</v>
      </c>
      <c r="K19" s="317">
        <f>I19+G19+'spł poż'!G18</f>
        <v>0</v>
      </c>
    </row>
    <row r="20" spans="1:36" s="17" customFormat="1" ht="15">
      <c r="A20" s="258" t="s">
        <v>22</v>
      </c>
      <c r="B20" s="259">
        <v>90</v>
      </c>
      <c r="C20" s="250">
        <f t="shared" si="0"/>
        <v>0</v>
      </c>
      <c r="D20" s="250"/>
      <c r="E20" s="299">
        <f t="shared" si="1"/>
        <v>0</v>
      </c>
      <c r="F20" s="302"/>
      <c r="G20" s="331"/>
      <c r="H20" s="340"/>
      <c r="I20" s="341"/>
      <c r="J20" s="317">
        <f>H20+F20+'spł poż'!F19</f>
        <v>0</v>
      </c>
      <c r="K20" s="317">
        <f>I20+G20+'spł poż'!G19</f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17" customFormat="1" ht="15.75" thickBot="1">
      <c r="A21" s="264" t="s">
        <v>23</v>
      </c>
      <c r="B21" s="265">
        <v>90</v>
      </c>
      <c r="C21" s="266">
        <f t="shared" si="0"/>
        <v>0</v>
      </c>
      <c r="D21" s="279"/>
      <c r="E21" s="304">
        <f t="shared" si="1"/>
        <v>0</v>
      </c>
      <c r="F21" s="305">
        <f>SUM(D18:D21)</f>
        <v>0</v>
      </c>
      <c r="G21" s="332">
        <f>SUM(E18:E21)</f>
        <v>0</v>
      </c>
      <c r="H21" s="344">
        <v>2500000</v>
      </c>
      <c r="I21" s="345">
        <v>258568</v>
      </c>
      <c r="J21" s="318">
        <f>H21+F21+'spł poż'!F20</f>
        <v>2550000</v>
      </c>
      <c r="K21" s="318">
        <f>I21+G21+'spł poż'!G20</f>
        <v>421756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11" ht="15">
      <c r="A22" s="243" t="s">
        <v>24</v>
      </c>
      <c r="B22" s="244">
        <v>90</v>
      </c>
      <c r="C22" s="245">
        <f t="shared" si="0"/>
        <v>0</v>
      </c>
      <c r="D22" s="272"/>
      <c r="E22" s="298">
        <f t="shared" si="1"/>
        <v>0</v>
      </c>
      <c r="F22" s="298"/>
      <c r="G22" s="328"/>
      <c r="H22" s="340"/>
      <c r="I22" s="341"/>
      <c r="J22" s="316">
        <f>H22+F22+'spł poż'!F21</f>
        <v>0</v>
      </c>
      <c r="K22" s="316">
        <f>I22+G22+'spł poż'!G21</f>
        <v>0</v>
      </c>
    </row>
    <row r="23" spans="1:11" ht="15">
      <c r="A23" s="248" t="s">
        <v>25</v>
      </c>
      <c r="B23" s="249">
        <v>90</v>
      </c>
      <c r="C23" s="250">
        <f t="shared" si="0"/>
        <v>0</v>
      </c>
      <c r="D23" s="274"/>
      <c r="E23" s="299">
        <f t="shared" si="1"/>
        <v>0</v>
      </c>
      <c r="F23" s="299"/>
      <c r="G23" s="329"/>
      <c r="H23" s="340"/>
      <c r="I23" s="341"/>
      <c r="J23" s="317">
        <f>H23+F23+'spł poż'!F22</f>
        <v>0</v>
      </c>
      <c r="K23" s="317">
        <f>I23+G23+'spł poż'!G22</f>
        <v>0</v>
      </c>
    </row>
    <row r="24" spans="1:11" ht="15">
      <c r="A24" s="248" t="s">
        <v>26</v>
      </c>
      <c r="B24" s="249">
        <v>90</v>
      </c>
      <c r="C24" s="250">
        <f t="shared" si="0"/>
        <v>0</v>
      </c>
      <c r="D24" s="250"/>
      <c r="E24" s="299">
        <f t="shared" si="1"/>
        <v>0</v>
      </c>
      <c r="F24" s="299"/>
      <c r="G24" s="329"/>
      <c r="H24" s="340"/>
      <c r="I24" s="341"/>
      <c r="J24" s="317">
        <f>H24+F24+'spł poż'!F23</f>
        <v>0</v>
      </c>
      <c r="K24" s="317">
        <f>I24+G24+'spł poż'!G23</f>
        <v>0</v>
      </c>
    </row>
    <row r="25" spans="1:11" ht="15.75" thickBot="1">
      <c r="A25" s="253" t="s">
        <v>27</v>
      </c>
      <c r="B25" s="254">
        <v>90</v>
      </c>
      <c r="C25" s="255">
        <f t="shared" si="0"/>
        <v>0</v>
      </c>
      <c r="D25" s="255"/>
      <c r="E25" s="301">
        <f t="shared" si="1"/>
        <v>0</v>
      </c>
      <c r="F25" s="301">
        <f>SUM(D22:D25)</f>
        <v>0</v>
      </c>
      <c r="G25" s="330">
        <f>SUM(E22:E25)</f>
        <v>0</v>
      </c>
      <c r="H25" s="344">
        <v>2500000</v>
      </c>
      <c r="I25" s="345">
        <v>171068</v>
      </c>
      <c r="J25" s="315">
        <f>H25+F25+'spł poż'!F24</f>
        <v>2550000</v>
      </c>
      <c r="K25" s="315">
        <f>I25+G25+'spł poż'!G24</f>
        <v>330756</v>
      </c>
    </row>
    <row r="26" spans="1:36" s="17" customFormat="1" ht="15">
      <c r="A26" s="270" t="s">
        <v>28</v>
      </c>
      <c r="B26" s="271">
        <v>90</v>
      </c>
      <c r="C26" s="245">
        <f t="shared" si="0"/>
        <v>0</v>
      </c>
      <c r="D26" s="272"/>
      <c r="E26" s="298">
        <f t="shared" si="1"/>
        <v>0</v>
      </c>
      <c r="F26" s="306"/>
      <c r="G26" s="333"/>
      <c r="H26" s="340"/>
      <c r="I26" s="341"/>
      <c r="J26" s="316">
        <f>H26+F26+'spł poż'!F25</f>
        <v>0</v>
      </c>
      <c r="K26" s="316">
        <f>I26+G26+'spł poż'!G25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5">
      <c r="A27" s="258" t="s">
        <v>29</v>
      </c>
      <c r="B27" s="259">
        <v>90</v>
      </c>
      <c r="C27" s="250">
        <f t="shared" si="0"/>
        <v>0</v>
      </c>
      <c r="D27" s="274"/>
      <c r="E27" s="299">
        <f t="shared" si="1"/>
        <v>0</v>
      </c>
      <c r="F27" s="302"/>
      <c r="G27" s="331"/>
      <c r="H27" s="340"/>
      <c r="I27" s="341"/>
      <c r="J27" s="317">
        <f>H27+F27+'spł poż'!F26</f>
        <v>0</v>
      </c>
      <c r="K27" s="317">
        <f>I27+G27+'spł poż'!G26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5">
      <c r="A28" s="258" t="s">
        <v>30</v>
      </c>
      <c r="B28" s="259">
        <v>90</v>
      </c>
      <c r="C28" s="250">
        <f t="shared" si="0"/>
        <v>0</v>
      </c>
      <c r="D28" s="274"/>
      <c r="E28" s="299">
        <f t="shared" si="1"/>
        <v>0</v>
      </c>
      <c r="F28" s="302"/>
      <c r="G28" s="331"/>
      <c r="H28" s="340"/>
      <c r="I28" s="341"/>
      <c r="J28" s="317">
        <f>H28+F28+'spł poż'!F27</f>
        <v>0</v>
      </c>
      <c r="K28" s="317">
        <f>I28+G28+'spł poż'!G27</f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17" customFormat="1" ht="15.75" thickBot="1">
      <c r="A29" s="261" t="s">
        <v>31</v>
      </c>
      <c r="B29" s="262">
        <v>90</v>
      </c>
      <c r="C29" s="255">
        <f t="shared" si="0"/>
        <v>0</v>
      </c>
      <c r="D29" s="275"/>
      <c r="E29" s="301">
        <f t="shared" si="1"/>
        <v>0</v>
      </c>
      <c r="F29" s="303">
        <f>SUM(D26:D29)</f>
        <v>0</v>
      </c>
      <c r="G29" s="334">
        <f>SUM(E26:E29)</f>
        <v>0</v>
      </c>
      <c r="H29" s="344">
        <v>2376170</v>
      </c>
      <c r="I29" s="345">
        <v>83568</v>
      </c>
      <c r="J29" s="315">
        <f>H29+F29+'spł poż'!F28</f>
        <v>2401170</v>
      </c>
      <c r="K29" s="315">
        <f>I29+G29+'spł poż'!G28</f>
        <v>212193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11" ht="15">
      <c r="A30" s="243" t="s">
        <v>32</v>
      </c>
      <c r="B30" s="244">
        <v>90</v>
      </c>
      <c r="C30" s="245">
        <f t="shared" si="0"/>
        <v>0</v>
      </c>
      <c r="D30" s="245"/>
      <c r="E30" s="298">
        <f t="shared" si="1"/>
        <v>0</v>
      </c>
      <c r="F30" s="298"/>
      <c r="G30" s="328"/>
      <c r="H30" s="340"/>
      <c r="I30" s="341"/>
      <c r="J30" s="316">
        <f>H30+F30+'spł poż'!F29</f>
        <v>0</v>
      </c>
      <c r="K30" s="316">
        <f>I30+G30+'spł poż'!G29</f>
        <v>0</v>
      </c>
    </row>
    <row r="31" spans="1:11" ht="15">
      <c r="A31" s="248" t="s">
        <v>33</v>
      </c>
      <c r="B31" s="249">
        <v>90</v>
      </c>
      <c r="C31" s="250">
        <f t="shared" si="0"/>
        <v>0</v>
      </c>
      <c r="D31" s="274"/>
      <c r="E31" s="299">
        <f t="shared" si="1"/>
        <v>0</v>
      </c>
      <c r="F31" s="299"/>
      <c r="G31" s="329"/>
      <c r="H31" s="340"/>
      <c r="I31" s="341"/>
      <c r="J31" s="317">
        <f>H31+F31+'spł poż'!F30</f>
        <v>0</v>
      </c>
      <c r="K31" s="317">
        <f>I31+G31+'spł poż'!G30</f>
        <v>0</v>
      </c>
    </row>
    <row r="32" spans="1:11" ht="15">
      <c r="A32" s="248" t="s">
        <v>34</v>
      </c>
      <c r="B32" s="249">
        <v>90</v>
      </c>
      <c r="C32" s="250">
        <f t="shared" si="0"/>
        <v>0</v>
      </c>
      <c r="D32" s="274"/>
      <c r="E32" s="299">
        <f t="shared" si="1"/>
        <v>0</v>
      </c>
      <c r="F32" s="299"/>
      <c r="G32" s="329"/>
      <c r="H32" s="340"/>
      <c r="I32" s="341"/>
      <c r="J32" s="317">
        <f>H32+F32+'spł poż'!F31</f>
        <v>0</v>
      </c>
      <c r="K32" s="317">
        <f>I32+G32+'spł poż'!G31</f>
        <v>0</v>
      </c>
    </row>
    <row r="33" spans="1:11" ht="15.75" thickBot="1">
      <c r="A33" s="307" t="s">
        <v>35</v>
      </c>
      <c r="B33" s="308">
        <v>90</v>
      </c>
      <c r="C33" s="266">
        <f t="shared" si="0"/>
        <v>0</v>
      </c>
      <c r="D33" s="279"/>
      <c r="E33" s="304">
        <f t="shared" si="1"/>
        <v>0</v>
      </c>
      <c r="F33" s="304">
        <f>SUM(D30:D33)</f>
        <v>0</v>
      </c>
      <c r="G33" s="335">
        <f>SUM(E30:E33)</f>
        <v>0</v>
      </c>
      <c r="H33" s="344">
        <v>11500</v>
      </c>
      <c r="I33" s="341">
        <v>403</v>
      </c>
      <c r="J33" s="318">
        <f>H33+F33+'spł poż'!F32</f>
        <v>62028</v>
      </c>
      <c r="K33" s="318">
        <f>I33+G33+'spł poż'!G32</f>
        <v>126831.26000000002</v>
      </c>
    </row>
    <row r="34" spans="1:36" s="17" customFormat="1" ht="15">
      <c r="A34" s="270" t="s">
        <v>36</v>
      </c>
      <c r="B34" s="271">
        <v>90</v>
      </c>
      <c r="C34" s="245">
        <f t="shared" si="0"/>
        <v>0</v>
      </c>
      <c r="D34" s="272"/>
      <c r="E34" s="298">
        <f t="shared" si="1"/>
        <v>0</v>
      </c>
      <c r="F34" s="306"/>
      <c r="G34" s="333"/>
      <c r="H34" s="340"/>
      <c r="I34" s="341"/>
      <c r="J34" s="316">
        <f>H34+F34+'spł poż'!F33</f>
        <v>0</v>
      </c>
      <c r="K34" s="316">
        <f>I34+G34+'spł poż'!G33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5">
      <c r="A35" s="258" t="s">
        <v>37</v>
      </c>
      <c r="B35" s="259">
        <v>90</v>
      </c>
      <c r="C35" s="250">
        <f t="shared" si="0"/>
        <v>0</v>
      </c>
      <c r="D35" s="274">
        <f>D34</f>
        <v>0</v>
      </c>
      <c r="E35" s="299">
        <f t="shared" si="1"/>
        <v>0</v>
      </c>
      <c r="F35" s="302"/>
      <c r="G35" s="331"/>
      <c r="H35" s="340"/>
      <c r="I35" s="341"/>
      <c r="J35" s="317">
        <f>H35+F35+'spł poż'!F34</f>
        <v>0</v>
      </c>
      <c r="K35" s="317">
        <f>I35+G35+'spł poż'!G34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5">
      <c r="A36" s="258" t="s">
        <v>38</v>
      </c>
      <c r="B36" s="259">
        <v>90</v>
      </c>
      <c r="C36" s="250">
        <f t="shared" si="0"/>
        <v>0</v>
      </c>
      <c r="D36" s="274"/>
      <c r="E36" s="299">
        <f t="shared" si="1"/>
        <v>0</v>
      </c>
      <c r="F36" s="302"/>
      <c r="G36" s="331"/>
      <c r="H36" s="340"/>
      <c r="I36" s="341"/>
      <c r="J36" s="317">
        <f>H36+F36+'spł poż'!F35</f>
        <v>0</v>
      </c>
      <c r="K36" s="317">
        <f>I36+G36+'spł poż'!G35</f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17" customFormat="1" ht="15.75" thickBot="1">
      <c r="A37" s="261" t="s">
        <v>39</v>
      </c>
      <c r="B37" s="262">
        <v>90</v>
      </c>
      <c r="C37" s="255">
        <f t="shared" si="0"/>
        <v>0</v>
      </c>
      <c r="D37" s="275"/>
      <c r="E37" s="301">
        <f t="shared" si="1"/>
        <v>0</v>
      </c>
      <c r="F37" s="303">
        <f>SUM(D34:D37)</f>
        <v>0</v>
      </c>
      <c r="G37" s="334">
        <f>SUM(E34:E37)</f>
        <v>0</v>
      </c>
      <c r="H37" s="340"/>
      <c r="I37" s="341"/>
      <c r="J37" s="315">
        <f>H37+F37+'spł poż'!F36</f>
        <v>750523</v>
      </c>
      <c r="K37" s="315">
        <f>I37+G37+'spł poż'!G36</f>
        <v>107150.54000000001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11" ht="15">
      <c r="A38" s="243" t="s">
        <v>40</v>
      </c>
      <c r="B38" s="244">
        <v>90</v>
      </c>
      <c r="C38" s="245">
        <f t="shared" si="0"/>
        <v>0</v>
      </c>
      <c r="D38" s="245">
        <f>D37</f>
        <v>0</v>
      </c>
      <c r="E38" s="298">
        <f t="shared" si="1"/>
        <v>0</v>
      </c>
      <c r="F38" s="298"/>
      <c r="G38" s="328"/>
      <c r="H38" s="340"/>
      <c r="I38" s="341"/>
      <c r="J38" s="316">
        <f>H38+F38+'spł poż'!F37</f>
        <v>0</v>
      </c>
      <c r="K38" s="316">
        <f>I38+G38+'spł poż'!G37</f>
        <v>0</v>
      </c>
    </row>
    <row r="39" spans="1:11" ht="15">
      <c r="A39" s="248" t="s">
        <v>41</v>
      </c>
      <c r="B39" s="249">
        <v>90</v>
      </c>
      <c r="C39" s="250">
        <f t="shared" si="0"/>
        <v>0</v>
      </c>
      <c r="D39" s="250">
        <f>D38</f>
        <v>0</v>
      </c>
      <c r="E39" s="299">
        <f t="shared" si="1"/>
        <v>0</v>
      </c>
      <c r="F39" s="299"/>
      <c r="G39" s="329"/>
      <c r="H39" s="340"/>
      <c r="I39" s="341"/>
      <c r="J39" s="317">
        <f>H39+F39+'spł poż'!F38</f>
        <v>0</v>
      </c>
      <c r="K39" s="317">
        <f>I39+G39+'spł poż'!G38</f>
        <v>0</v>
      </c>
    </row>
    <row r="40" spans="1:11" ht="15">
      <c r="A40" s="248" t="s">
        <v>42</v>
      </c>
      <c r="B40" s="249">
        <v>90</v>
      </c>
      <c r="C40" s="250">
        <f t="shared" si="0"/>
        <v>0</v>
      </c>
      <c r="D40" s="250">
        <f>D39</f>
        <v>0</v>
      </c>
      <c r="E40" s="299">
        <f t="shared" si="1"/>
        <v>0</v>
      </c>
      <c r="F40" s="299"/>
      <c r="G40" s="329"/>
      <c r="H40" s="340"/>
      <c r="I40" s="341"/>
      <c r="J40" s="317">
        <f>H40+F40+'spł poż'!F39</f>
        <v>0</v>
      </c>
      <c r="K40" s="317">
        <f>I40+G40+'spł poż'!G39</f>
        <v>0</v>
      </c>
    </row>
    <row r="41" spans="1:11" ht="15.75" thickBot="1">
      <c r="A41" s="253" t="s">
        <v>43</v>
      </c>
      <c r="B41" s="254">
        <v>90</v>
      </c>
      <c r="C41" s="255">
        <f t="shared" si="0"/>
        <v>0</v>
      </c>
      <c r="D41" s="255"/>
      <c r="E41" s="301">
        <f t="shared" si="1"/>
        <v>0</v>
      </c>
      <c r="F41" s="301">
        <f>SUM(D38:D41)</f>
        <v>0</v>
      </c>
      <c r="G41" s="330">
        <f>SUM(E38:E41)</f>
        <v>0</v>
      </c>
      <c r="H41" s="340"/>
      <c r="I41" s="341"/>
      <c r="J41" s="315">
        <f>H41+F41+'spł poż'!F40</f>
        <v>600000</v>
      </c>
      <c r="K41" s="315">
        <f>I41+G41+'spł poż'!G40</f>
        <v>55926.43</v>
      </c>
    </row>
    <row r="42" spans="1:11" ht="15">
      <c r="A42" s="243" t="s">
        <v>44</v>
      </c>
      <c r="B42" s="244">
        <v>90</v>
      </c>
      <c r="C42" s="245">
        <f t="shared" si="0"/>
        <v>0</v>
      </c>
      <c r="D42" s="245"/>
      <c r="E42" s="298">
        <f>B42*C42*0.07/360</f>
        <v>0</v>
      </c>
      <c r="F42" s="298"/>
      <c r="G42" s="328"/>
      <c r="H42" s="340"/>
      <c r="I42" s="341"/>
      <c r="J42" s="316">
        <f>H42+F42+'spł poż'!F41</f>
        <v>0</v>
      </c>
      <c r="K42" s="316">
        <f>I42+G42+'spł poż'!G41</f>
        <v>0</v>
      </c>
    </row>
    <row r="43" spans="1:11" ht="15">
      <c r="A43" s="248" t="s">
        <v>45</v>
      </c>
      <c r="B43" s="249">
        <v>90</v>
      </c>
      <c r="C43" s="250">
        <f t="shared" si="0"/>
        <v>0</v>
      </c>
      <c r="D43" s="250"/>
      <c r="E43" s="299">
        <f>B43*C43*0.07/360</f>
        <v>0</v>
      </c>
      <c r="F43" s="299"/>
      <c r="G43" s="329"/>
      <c r="H43" s="340"/>
      <c r="I43" s="341"/>
      <c r="J43" s="317">
        <f>H43+F43+'spł poż'!F42</f>
        <v>0</v>
      </c>
      <c r="K43" s="317">
        <f>I43+G43+'spł poż'!G42</f>
        <v>0</v>
      </c>
    </row>
    <row r="44" spans="1:11" ht="15">
      <c r="A44" s="248" t="s">
        <v>46</v>
      </c>
      <c r="B44" s="249">
        <v>90</v>
      </c>
      <c r="C44" s="250">
        <f t="shared" si="0"/>
        <v>0</v>
      </c>
      <c r="D44" s="250"/>
      <c r="E44" s="299">
        <f>B44*C44*0.07/360</f>
        <v>0</v>
      </c>
      <c r="F44" s="299"/>
      <c r="G44" s="329"/>
      <c r="H44" s="340"/>
      <c r="I44" s="341"/>
      <c r="J44" s="317">
        <f>H44+F44+'spł poż'!F43</f>
        <v>0</v>
      </c>
      <c r="K44" s="317">
        <f>I44+G44+'spł poż'!G43</f>
        <v>0</v>
      </c>
    </row>
    <row r="45" spans="1:11" ht="15.75" thickBot="1">
      <c r="A45" s="253" t="s">
        <v>47</v>
      </c>
      <c r="B45" s="254">
        <v>90</v>
      </c>
      <c r="C45" s="255">
        <f>C44-D44</f>
        <v>0</v>
      </c>
      <c r="D45" s="255"/>
      <c r="E45" s="301">
        <f>B45*C45*0.07/360</f>
        <v>0</v>
      </c>
      <c r="F45" s="301">
        <f>SUM(D42:D45)</f>
        <v>0</v>
      </c>
      <c r="G45" s="330">
        <f>SUM(E42:E45)</f>
        <v>0</v>
      </c>
      <c r="H45" s="346"/>
      <c r="I45" s="347"/>
      <c r="J45" s="315">
        <f>H45+F45+'spł poż'!F44</f>
        <v>423949</v>
      </c>
      <c r="K45" s="315">
        <f>I45+G45+'spł poż'!G44</f>
        <v>18757.322500000002</v>
      </c>
    </row>
    <row r="46" spans="4:11" ht="12.75">
      <c r="D46" s="14">
        <f>SUM(D10:D45)</f>
        <v>0</v>
      </c>
      <c r="J46" s="309"/>
      <c r="K46" s="360">
        <f>SUM(K4:K45)</f>
        <v>4314644.552499999</v>
      </c>
    </row>
  </sheetData>
  <sheetProtection/>
  <mergeCells count="2">
    <mergeCell ref="A1:G1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tabSelected="1" view="pageBreakPreview" zoomScale="75" zoomScaleNormal="90" zoomScaleSheetLayoutView="75" zoomScalePageLayoutView="0" workbookViewId="0" topLeftCell="E53">
      <selection activeCell="H22" sqref="H22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1.00390625" style="31" customWidth="1"/>
    <col min="4" max="4" width="14.28125" style="0" customWidth="1"/>
    <col min="5" max="5" width="14.8515625" style="0" customWidth="1"/>
    <col min="6" max="6" width="13.421875" style="31" customWidth="1"/>
    <col min="7" max="7" width="15.7109375" style="0" customWidth="1"/>
    <col min="8" max="8" width="16.140625" style="0" customWidth="1"/>
    <col min="9" max="9" width="16.00390625" style="0" customWidth="1"/>
    <col min="10" max="10" width="15.8515625" style="0" customWidth="1"/>
    <col min="11" max="11" width="14.28125" style="0" customWidth="1"/>
    <col min="12" max="12" width="16.28125" style="0" customWidth="1"/>
    <col min="13" max="13" width="16.00390625" style="0" customWidth="1"/>
    <col min="14" max="14" width="15.8515625" style="0" customWidth="1"/>
    <col min="15" max="15" width="16.00390625" style="0" customWidth="1"/>
    <col min="16" max="17" width="16.28125" style="0" customWidth="1"/>
  </cols>
  <sheetData>
    <row r="1" spans="1:17" ht="19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58"/>
      <c r="N1" s="60" t="s">
        <v>48</v>
      </c>
      <c r="O1" s="60"/>
      <c r="P1" s="61"/>
      <c r="Q1" s="61"/>
    </row>
    <row r="2" spans="1:17" ht="3.75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4"/>
      <c r="M2" s="63"/>
      <c r="N2" s="65"/>
      <c r="O2" s="66"/>
      <c r="P2" s="63"/>
      <c r="Q2" s="63"/>
    </row>
    <row r="3" spans="1:17" ht="12.75" customHeight="1">
      <c r="A3" s="67"/>
      <c r="B3" s="67"/>
      <c r="C3" s="68"/>
      <c r="D3" s="68"/>
      <c r="E3" s="68"/>
      <c r="F3" s="68"/>
      <c r="G3" s="68"/>
      <c r="H3" s="68"/>
      <c r="I3" s="68"/>
      <c r="J3" s="68"/>
      <c r="K3" s="68"/>
      <c r="L3" s="69"/>
      <c r="M3" s="68"/>
      <c r="N3" s="70" t="s">
        <v>333</v>
      </c>
      <c r="O3" s="66"/>
      <c r="P3" s="68"/>
      <c r="Q3" s="68"/>
    </row>
    <row r="4" spans="1:17" ht="16.5" customHeight="1">
      <c r="A4" s="67"/>
      <c r="B4" s="67"/>
      <c r="C4" s="68"/>
      <c r="D4" s="68"/>
      <c r="E4" s="68"/>
      <c r="F4" s="68"/>
      <c r="G4" s="68"/>
      <c r="H4" s="68"/>
      <c r="I4" s="68"/>
      <c r="J4" s="68"/>
      <c r="K4" s="68"/>
      <c r="L4" s="69"/>
      <c r="M4" s="68"/>
      <c r="N4" s="70" t="s">
        <v>49</v>
      </c>
      <c r="O4" s="66"/>
      <c r="P4" s="68"/>
      <c r="Q4" s="68"/>
    </row>
    <row r="5" spans="1:17" ht="12" customHeight="1">
      <c r="A5" s="67"/>
      <c r="B5" s="67"/>
      <c r="C5" s="68"/>
      <c r="D5" s="68"/>
      <c r="E5" s="68"/>
      <c r="F5" s="68"/>
      <c r="G5" s="68"/>
      <c r="H5" s="68"/>
      <c r="I5" s="68"/>
      <c r="J5" s="68"/>
      <c r="K5" s="68"/>
      <c r="L5" s="69"/>
      <c r="M5" s="68"/>
      <c r="N5" s="70" t="s">
        <v>334</v>
      </c>
      <c r="O5" s="66"/>
      <c r="P5" s="68"/>
      <c r="Q5" s="68"/>
    </row>
    <row r="6" spans="1:17" ht="19.5" customHeight="1" thickBot="1">
      <c r="A6" s="588" t="s">
        <v>305</v>
      </c>
      <c r="B6" s="588"/>
      <c r="C6" s="588" t="s">
        <v>51</v>
      </c>
      <c r="D6" s="588" t="s">
        <v>50</v>
      </c>
      <c r="E6" s="588" t="s">
        <v>52</v>
      </c>
      <c r="F6" s="588" t="s">
        <v>53</v>
      </c>
      <c r="G6" s="588" t="s">
        <v>54</v>
      </c>
      <c r="H6" s="588" t="s">
        <v>55</v>
      </c>
      <c r="I6" s="588" t="s">
        <v>56</v>
      </c>
      <c r="J6" s="588" t="s">
        <v>57</v>
      </c>
      <c r="K6" s="588" t="s">
        <v>58</v>
      </c>
      <c r="L6" s="588" t="s">
        <v>59</v>
      </c>
      <c r="M6" s="588" t="s">
        <v>60</v>
      </c>
      <c r="N6" s="588" t="s">
        <v>61</v>
      </c>
      <c r="O6" s="71"/>
      <c r="P6" s="71"/>
      <c r="Q6" s="72"/>
    </row>
    <row r="7" spans="1:17" ht="19.5" customHeight="1" thickBot="1">
      <c r="A7" s="588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71"/>
      <c r="P7" s="71"/>
      <c r="Q7" s="72"/>
    </row>
    <row r="8" spans="1:17" ht="19.5" customHeight="1" thickBot="1">
      <c r="A8" s="588"/>
      <c r="B8" s="588"/>
      <c r="C8" s="588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71"/>
      <c r="P8" s="71"/>
      <c r="Q8" s="72"/>
    </row>
    <row r="9" spans="1:17" ht="16.5" customHeight="1" thickBot="1">
      <c r="A9" s="536" t="s">
        <v>62</v>
      </c>
      <c r="B9" s="556" t="s">
        <v>63</v>
      </c>
      <c r="C9" s="557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</row>
    <row r="10" spans="1:17" ht="16.5" customHeight="1" thickBot="1">
      <c r="A10" s="537"/>
      <c r="B10" s="558"/>
      <c r="C10" s="559"/>
      <c r="D10" s="549" t="s">
        <v>64</v>
      </c>
      <c r="E10" s="549"/>
      <c r="F10" s="550"/>
      <c r="G10" s="564" t="s">
        <v>65</v>
      </c>
      <c r="H10" s="563"/>
      <c r="I10" s="563"/>
      <c r="J10" s="563"/>
      <c r="K10" s="563"/>
      <c r="L10" s="563"/>
      <c r="M10" s="563"/>
      <c r="N10" s="563"/>
      <c r="O10" s="563"/>
      <c r="P10" s="563"/>
      <c r="Q10" s="563"/>
    </row>
    <row r="11" spans="1:17" ht="18" customHeight="1">
      <c r="A11" s="537"/>
      <c r="B11" s="558"/>
      <c r="C11" s="560"/>
      <c r="D11" s="534">
        <v>2008</v>
      </c>
      <c r="E11" s="543">
        <v>2009</v>
      </c>
      <c r="F11" s="539">
        <v>2010</v>
      </c>
      <c r="G11" s="541" t="s">
        <v>304</v>
      </c>
      <c r="H11" s="547">
        <v>2012</v>
      </c>
      <c r="I11" s="545">
        <v>2013</v>
      </c>
      <c r="J11" s="534">
        <v>2014</v>
      </c>
      <c r="K11" s="534">
        <v>2015</v>
      </c>
      <c r="L11" s="534">
        <v>2016</v>
      </c>
      <c r="M11" s="534">
        <v>2017</v>
      </c>
      <c r="N11" s="534">
        <v>2018</v>
      </c>
      <c r="O11" s="534">
        <v>2019</v>
      </c>
      <c r="P11" s="534">
        <v>2020</v>
      </c>
      <c r="Q11" s="534">
        <v>2021</v>
      </c>
    </row>
    <row r="12" spans="1:17" ht="14.25" customHeight="1" thickBot="1">
      <c r="A12" s="538"/>
      <c r="B12" s="561"/>
      <c r="C12" s="562"/>
      <c r="D12" s="535"/>
      <c r="E12" s="544"/>
      <c r="F12" s="540"/>
      <c r="G12" s="542"/>
      <c r="H12" s="548"/>
      <c r="I12" s="546"/>
      <c r="J12" s="535"/>
      <c r="K12" s="535"/>
      <c r="L12" s="535"/>
      <c r="M12" s="535"/>
      <c r="N12" s="535"/>
      <c r="O12" s="535"/>
      <c r="P12" s="535"/>
      <c r="Q12" s="535"/>
    </row>
    <row r="13" spans="1:17" s="32" customFormat="1" ht="19.5" customHeight="1">
      <c r="A13" s="83">
        <v>1</v>
      </c>
      <c r="B13" s="594" t="s">
        <v>66</v>
      </c>
      <c r="C13" s="595"/>
      <c r="D13" s="89">
        <f>D14+D15</f>
        <v>80916668</v>
      </c>
      <c r="E13" s="89">
        <f>E14+E15</f>
        <v>81699693</v>
      </c>
      <c r="F13" s="94">
        <f>F14+F15</f>
        <v>85095905</v>
      </c>
      <c r="G13" s="464">
        <f>G14+G15</f>
        <v>114278216</v>
      </c>
      <c r="H13" s="480">
        <f>H14+H15</f>
        <v>178161746</v>
      </c>
      <c r="I13" s="474">
        <f aca="true" t="shared" si="0" ref="I13:Q13">I14+I15</f>
        <v>166937534</v>
      </c>
      <c r="J13" s="89">
        <f t="shared" si="0"/>
        <v>114230586</v>
      </c>
      <c r="K13" s="463">
        <f t="shared" si="0"/>
        <v>128758338</v>
      </c>
      <c r="L13" s="89">
        <f t="shared" si="0"/>
        <v>124848430</v>
      </c>
      <c r="M13" s="89">
        <f t="shared" si="0"/>
        <v>129078216</v>
      </c>
      <c r="N13" s="89">
        <f t="shared" si="0"/>
        <v>134530581</v>
      </c>
      <c r="O13" s="89">
        <f t="shared" si="0"/>
        <v>139658756</v>
      </c>
      <c r="P13" s="89">
        <f t="shared" si="0"/>
        <v>143547325</v>
      </c>
      <c r="Q13" s="89">
        <f t="shared" si="0"/>
        <v>146658641</v>
      </c>
    </row>
    <row r="14" spans="1:17" ht="19.5" customHeight="1">
      <c r="A14" s="84" t="s">
        <v>67</v>
      </c>
      <c r="B14" s="551" t="s">
        <v>68</v>
      </c>
      <c r="C14" s="552"/>
      <c r="D14" s="86">
        <v>80901768</v>
      </c>
      <c r="E14" s="86">
        <v>80665439</v>
      </c>
      <c r="F14" s="96">
        <v>84339995</v>
      </c>
      <c r="G14" s="465">
        <v>98522397</v>
      </c>
      <c r="H14" s="481">
        <v>103679332</v>
      </c>
      <c r="I14" s="489">
        <v>109675033</v>
      </c>
      <c r="J14" s="87">
        <v>114230586</v>
      </c>
      <c r="K14" s="86">
        <v>119758338</v>
      </c>
      <c r="L14" s="86">
        <v>124848430</v>
      </c>
      <c r="M14" s="86">
        <v>129078216</v>
      </c>
      <c r="N14" s="86">
        <v>134530581</v>
      </c>
      <c r="O14" s="86">
        <v>139658756</v>
      </c>
      <c r="P14" s="86">
        <v>143547325</v>
      </c>
      <c r="Q14" s="86">
        <v>146658641</v>
      </c>
    </row>
    <row r="15" spans="1:17" ht="19.5" customHeight="1">
      <c r="A15" s="84" t="s">
        <v>69</v>
      </c>
      <c r="B15" s="551" t="s">
        <v>70</v>
      </c>
      <c r="C15" s="552"/>
      <c r="D15" s="86">
        <v>14900</v>
      </c>
      <c r="E15" s="86">
        <v>1034254</v>
      </c>
      <c r="F15" s="96">
        <v>755910</v>
      </c>
      <c r="G15" s="465">
        <v>15755819</v>
      </c>
      <c r="H15" s="481">
        <v>74482414</v>
      </c>
      <c r="I15" s="489">
        <v>57262501</v>
      </c>
      <c r="J15" s="87"/>
      <c r="K15" s="86">
        <v>9000000</v>
      </c>
      <c r="L15" s="86">
        <f>L16</f>
        <v>0</v>
      </c>
      <c r="M15" s="86">
        <f>M16</f>
        <v>0</v>
      </c>
      <c r="N15" s="87">
        <v>0</v>
      </c>
      <c r="O15" s="86">
        <f>O16</f>
        <v>0</v>
      </c>
      <c r="P15" s="86"/>
      <c r="Q15" s="86"/>
    </row>
    <row r="16" spans="1:17" ht="20.25" customHeight="1">
      <c r="A16" s="84" t="s">
        <v>71</v>
      </c>
      <c r="B16" s="98" t="s">
        <v>72</v>
      </c>
      <c r="C16" s="459" t="s">
        <v>73</v>
      </c>
      <c r="D16" s="86">
        <v>0</v>
      </c>
      <c r="E16" s="86">
        <v>197354</v>
      </c>
      <c r="F16" s="96">
        <v>255910</v>
      </c>
      <c r="G16" s="465">
        <v>13500000</v>
      </c>
      <c r="H16" s="481">
        <v>52000000</v>
      </c>
      <c r="I16" s="490">
        <v>26150000</v>
      </c>
      <c r="J16" s="87"/>
      <c r="K16" s="87"/>
      <c r="L16" s="87">
        <v>0</v>
      </c>
      <c r="M16" s="87">
        <v>0</v>
      </c>
      <c r="N16" s="87">
        <v>0</v>
      </c>
      <c r="O16" s="87">
        <v>0</v>
      </c>
      <c r="P16" s="87"/>
      <c r="Q16" s="87"/>
    </row>
    <row r="17" spans="1:17" ht="54.75" customHeight="1">
      <c r="A17" s="88">
        <v>2</v>
      </c>
      <c r="B17" s="553" t="s">
        <v>74</v>
      </c>
      <c r="C17" s="554"/>
      <c r="D17" s="89">
        <v>63400831</v>
      </c>
      <c r="E17" s="89">
        <v>71551205</v>
      </c>
      <c r="F17" s="94">
        <v>76029699</v>
      </c>
      <c r="G17" s="464">
        <v>88000247</v>
      </c>
      <c r="H17" s="480">
        <v>99283966</v>
      </c>
      <c r="I17" s="474">
        <v>82020230</v>
      </c>
      <c r="J17" s="89">
        <v>82730732</v>
      </c>
      <c r="K17" s="89">
        <v>82337332</v>
      </c>
      <c r="L17" s="89">
        <v>97905924</v>
      </c>
      <c r="M17" s="89">
        <v>100364353</v>
      </c>
      <c r="N17" s="89">
        <v>104926222</v>
      </c>
      <c r="O17" s="89">
        <v>105712332</v>
      </c>
      <c r="P17" s="89">
        <v>110641024</v>
      </c>
      <c r="Q17" s="89">
        <v>113939185</v>
      </c>
    </row>
    <row r="18" spans="1:17" ht="24.75" customHeight="1">
      <c r="A18" s="84" t="s">
        <v>67</v>
      </c>
      <c r="B18" s="555" t="s">
        <v>72</v>
      </c>
      <c r="C18" s="460" t="s">
        <v>75</v>
      </c>
      <c r="D18" s="86">
        <v>21925321.76</v>
      </c>
      <c r="E18" s="86">
        <v>25712119</v>
      </c>
      <c r="F18" s="96">
        <v>28031630</v>
      </c>
      <c r="G18" s="465">
        <v>31812111</v>
      </c>
      <c r="H18" s="481">
        <v>38527723</v>
      </c>
      <c r="I18" s="489">
        <f aca="true" t="shared" si="1" ref="I18:O18">H18*102%</f>
        <v>39298277.46</v>
      </c>
      <c r="J18" s="87">
        <f t="shared" si="1"/>
        <v>40084243.0092</v>
      </c>
      <c r="K18" s="86">
        <f t="shared" si="1"/>
        <v>40885927.869384</v>
      </c>
      <c r="L18" s="86">
        <f t="shared" si="1"/>
        <v>41703646.42677168</v>
      </c>
      <c r="M18" s="86">
        <f t="shared" si="1"/>
        <v>42537719.35530711</v>
      </c>
      <c r="N18" s="86">
        <f t="shared" si="1"/>
        <v>43388473.74241325</v>
      </c>
      <c r="O18" s="86">
        <f t="shared" si="1"/>
        <v>44256243.217261516</v>
      </c>
      <c r="P18" s="86">
        <f>N18*102%</f>
        <v>44256243.217261516</v>
      </c>
      <c r="Q18" s="86">
        <f>O18*102%</f>
        <v>45141368.081606746</v>
      </c>
    </row>
    <row r="19" spans="1:17" ht="24.75" customHeight="1">
      <c r="A19" s="84" t="s">
        <v>69</v>
      </c>
      <c r="B19" s="555"/>
      <c r="C19" s="460" t="s">
        <v>76</v>
      </c>
      <c r="D19" s="86">
        <v>6959371</v>
      </c>
      <c r="E19" s="86">
        <v>7561065</v>
      </c>
      <c r="F19" s="96">
        <v>8358243</v>
      </c>
      <c r="G19" s="465">
        <v>9944058</v>
      </c>
      <c r="H19" s="481">
        <v>11509600</v>
      </c>
      <c r="I19" s="489">
        <v>7950000</v>
      </c>
      <c r="J19" s="87">
        <v>7980000</v>
      </c>
      <c r="K19" s="86">
        <v>8010000</v>
      </c>
      <c r="L19" s="86">
        <v>8170200</v>
      </c>
      <c r="M19" s="86">
        <f>L19*102%</f>
        <v>8333604</v>
      </c>
      <c r="N19" s="86">
        <f>M19*102%</f>
        <v>8500276.08</v>
      </c>
      <c r="O19" s="86">
        <f>N19*102%</f>
        <v>8670281.6016</v>
      </c>
      <c r="P19" s="86">
        <f>N19*102%</f>
        <v>8670281.6016</v>
      </c>
      <c r="Q19" s="86">
        <f>O19*102%</f>
        <v>8843687.233632</v>
      </c>
    </row>
    <row r="20" spans="1:17" ht="20.25" customHeight="1">
      <c r="A20" s="84" t="s">
        <v>77</v>
      </c>
      <c r="B20" s="555"/>
      <c r="C20" s="460" t="s">
        <v>78</v>
      </c>
      <c r="D20" s="86">
        <v>0</v>
      </c>
      <c r="E20" s="86">
        <v>0</v>
      </c>
      <c r="F20" s="96">
        <v>0</v>
      </c>
      <c r="G20" s="488">
        <v>0</v>
      </c>
      <c r="H20" s="486"/>
      <c r="I20" s="478">
        <v>0</v>
      </c>
      <c r="J20" s="85"/>
      <c r="K20" s="85"/>
      <c r="L20" s="85"/>
      <c r="M20" s="85"/>
      <c r="N20" s="85"/>
      <c r="O20" s="85"/>
      <c r="P20" s="85"/>
      <c r="Q20" s="85"/>
    </row>
    <row r="21" spans="1:17" ht="35.25" customHeight="1">
      <c r="A21" s="84" t="s">
        <v>71</v>
      </c>
      <c r="B21" s="555"/>
      <c r="C21" s="460" t="s">
        <v>79</v>
      </c>
      <c r="D21" s="85">
        <v>0</v>
      </c>
      <c r="E21" s="85">
        <v>0</v>
      </c>
      <c r="F21" s="96">
        <v>0</v>
      </c>
      <c r="G21" s="488">
        <v>0</v>
      </c>
      <c r="H21" s="486">
        <v>0</v>
      </c>
      <c r="I21" s="478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</row>
    <row r="22" spans="1:17" ht="31.5">
      <c r="A22" s="84" t="s">
        <v>80</v>
      </c>
      <c r="B22" s="555"/>
      <c r="C22" s="460" t="s">
        <v>81</v>
      </c>
      <c r="D22" s="86" t="s">
        <v>82</v>
      </c>
      <c r="E22" s="86" t="s">
        <v>82</v>
      </c>
      <c r="F22" s="96" t="s">
        <v>82</v>
      </c>
      <c r="G22" s="465">
        <v>1309987</v>
      </c>
      <c r="H22" s="481">
        <f>'Wykaz przedsięwzięć'!J86</f>
        <v>8318086</v>
      </c>
      <c r="I22" s="490">
        <f>'Wykaz przedsięwzięć'!K86</f>
        <v>2800928</v>
      </c>
      <c r="J22" s="87">
        <f>'Wykaz przedsięwzięć'!L86</f>
        <v>2661859</v>
      </c>
      <c r="K22" s="87">
        <f>'Wykaz przedsięwzięć'!M86</f>
        <v>649000</v>
      </c>
      <c r="L22" s="87">
        <f>'Wykaz przedsięwzięć'!N86</f>
        <v>526000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</row>
    <row r="23" spans="1:17" ht="38.25" customHeight="1">
      <c r="A23" s="91">
        <v>3</v>
      </c>
      <c r="B23" s="568" t="s">
        <v>83</v>
      </c>
      <c r="C23" s="569"/>
      <c r="D23" s="92">
        <f aca="true" t="shared" si="2" ref="D23:Q23">D13-D17</f>
        <v>17515837</v>
      </c>
      <c r="E23" s="92">
        <f t="shared" si="2"/>
        <v>10148488</v>
      </c>
      <c r="F23" s="94">
        <f>F13-F17</f>
        <v>9066206</v>
      </c>
      <c r="G23" s="464">
        <f t="shared" si="2"/>
        <v>26277969</v>
      </c>
      <c r="H23" s="480">
        <f>H13-H17</f>
        <v>78877780</v>
      </c>
      <c r="I23" s="471">
        <f t="shared" si="2"/>
        <v>84917304</v>
      </c>
      <c r="J23" s="89">
        <f t="shared" si="2"/>
        <v>31499854</v>
      </c>
      <c r="K23" s="92">
        <f>K13-K17</f>
        <v>46421006</v>
      </c>
      <c r="L23" s="92">
        <f t="shared" si="2"/>
        <v>26942506</v>
      </c>
      <c r="M23" s="92">
        <f t="shared" si="2"/>
        <v>28713863</v>
      </c>
      <c r="N23" s="92">
        <f t="shared" si="2"/>
        <v>29604359</v>
      </c>
      <c r="O23" s="92">
        <f t="shared" si="2"/>
        <v>33946424</v>
      </c>
      <c r="P23" s="92">
        <f>P13-P17</f>
        <v>32906301</v>
      </c>
      <c r="Q23" s="92">
        <f t="shared" si="2"/>
        <v>32719456</v>
      </c>
    </row>
    <row r="24" spans="1:17" ht="39.75" customHeight="1">
      <c r="A24" s="91">
        <v>4</v>
      </c>
      <c r="B24" s="568" t="s">
        <v>84</v>
      </c>
      <c r="C24" s="569"/>
      <c r="D24" s="93">
        <v>19854380</v>
      </c>
      <c r="E24" s="93">
        <v>3719761</v>
      </c>
      <c r="F24" s="94">
        <v>1245475</v>
      </c>
      <c r="G24" s="467">
        <v>427077</v>
      </c>
      <c r="H24" s="483">
        <f>H25</f>
        <v>35040</v>
      </c>
      <c r="I24" s="473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</row>
    <row r="25" spans="1:17" ht="51" customHeight="1">
      <c r="A25" s="84" t="s">
        <v>67</v>
      </c>
      <c r="B25" s="95" t="s">
        <v>72</v>
      </c>
      <c r="C25" s="461" t="s">
        <v>85</v>
      </c>
      <c r="D25" s="85">
        <v>14712619</v>
      </c>
      <c r="E25" s="85">
        <v>0</v>
      </c>
      <c r="F25" s="96"/>
      <c r="G25" s="488">
        <v>375492</v>
      </c>
      <c r="H25" s="486">
        <v>35040</v>
      </c>
      <c r="I25" s="491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</row>
    <row r="26" spans="1:17" ht="33.75" customHeight="1">
      <c r="A26" s="91">
        <v>5</v>
      </c>
      <c r="B26" s="568" t="s">
        <v>86</v>
      </c>
      <c r="C26" s="569"/>
      <c r="D26" s="93">
        <v>0</v>
      </c>
      <c r="E26" s="92">
        <v>0</v>
      </c>
      <c r="F26" s="94">
        <v>0</v>
      </c>
      <c r="G26" s="464">
        <v>0</v>
      </c>
      <c r="H26" s="480">
        <v>0</v>
      </c>
      <c r="I26" s="471">
        <v>0</v>
      </c>
      <c r="J26" s="89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</row>
    <row r="27" spans="1:17" ht="20.25" customHeight="1">
      <c r="A27" s="91">
        <v>6</v>
      </c>
      <c r="B27" s="568" t="s">
        <v>87</v>
      </c>
      <c r="C27" s="569"/>
      <c r="D27" s="92">
        <f aca="true" t="shared" si="3" ref="D27:Q27">D23+D24+D26</f>
        <v>37370217</v>
      </c>
      <c r="E27" s="92">
        <f t="shared" si="3"/>
        <v>13868249</v>
      </c>
      <c r="F27" s="94">
        <f>F23+F24+F26</f>
        <v>10311681</v>
      </c>
      <c r="G27" s="464">
        <f>G23+G24+G26</f>
        <v>26705046</v>
      </c>
      <c r="H27" s="480">
        <f>H23+H24+H26</f>
        <v>78912820</v>
      </c>
      <c r="I27" s="471">
        <f t="shared" si="3"/>
        <v>84917304</v>
      </c>
      <c r="J27" s="89">
        <f t="shared" si="3"/>
        <v>31499854</v>
      </c>
      <c r="K27" s="92">
        <f>K23+K24+K26</f>
        <v>46421006</v>
      </c>
      <c r="L27" s="92">
        <f t="shared" si="3"/>
        <v>26942506</v>
      </c>
      <c r="M27" s="92">
        <f t="shared" si="3"/>
        <v>28713863</v>
      </c>
      <c r="N27" s="92">
        <f t="shared" si="3"/>
        <v>29604359</v>
      </c>
      <c r="O27" s="92">
        <f t="shared" si="3"/>
        <v>33946424</v>
      </c>
      <c r="P27" s="92">
        <f t="shared" si="3"/>
        <v>32906301</v>
      </c>
      <c r="Q27" s="92">
        <f t="shared" si="3"/>
        <v>32719456</v>
      </c>
    </row>
    <row r="28" spans="1:17" ht="20.25" customHeight="1">
      <c r="A28" s="91">
        <v>7</v>
      </c>
      <c r="B28" s="568" t="s">
        <v>88</v>
      </c>
      <c r="C28" s="569"/>
      <c r="D28" s="93">
        <f aca="true" t="shared" si="4" ref="D28:Q28">D29+D33</f>
        <v>1883950</v>
      </c>
      <c r="E28" s="93">
        <f t="shared" si="4"/>
        <v>4502192</v>
      </c>
      <c r="F28" s="94">
        <f>F29+F33</f>
        <v>9065858</v>
      </c>
      <c r="G28" s="467">
        <f t="shared" si="4"/>
        <v>6883561</v>
      </c>
      <c r="H28" s="483">
        <v>9232930</v>
      </c>
      <c r="I28" s="477">
        <f t="shared" si="4"/>
        <v>10436843</v>
      </c>
      <c r="J28" s="94">
        <f t="shared" si="4"/>
        <v>9859854</v>
      </c>
      <c r="K28" s="93">
        <f t="shared" si="4"/>
        <v>8621006</v>
      </c>
      <c r="L28" s="93">
        <f t="shared" si="4"/>
        <v>8442506</v>
      </c>
      <c r="M28" s="93">
        <f t="shared" si="4"/>
        <v>8713863</v>
      </c>
      <c r="N28" s="93">
        <f t="shared" si="4"/>
        <v>6604359.26</v>
      </c>
      <c r="O28" s="93">
        <f t="shared" si="4"/>
        <v>8446423.54</v>
      </c>
      <c r="P28" s="93">
        <f t="shared" si="4"/>
        <v>6906301.43</v>
      </c>
      <c r="Q28" s="93">
        <f t="shared" si="4"/>
        <v>4719456.3225</v>
      </c>
    </row>
    <row r="29" spans="1:18" s="19" customFormat="1" ht="36" customHeight="1">
      <c r="A29" s="97" t="s">
        <v>67</v>
      </c>
      <c r="B29" s="592" t="s">
        <v>89</v>
      </c>
      <c r="C29" s="572"/>
      <c r="D29" s="87">
        <v>1422000</v>
      </c>
      <c r="E29" s="87">
        <v>3463314</v>
      </c>
      <c r="F29" s="96">
        <v>6940085</v>
      </c>
      <c r="G29" s="465">
        <v>4551585</v>
      </c>
      <c r="H29" s="481">
        <f>SUM(H30:H32)</f>
        <v>6935040</v>
      </c>
      <c r="I29" s="490">
        <f>SUM(I30:I32)</f>
        <v>7266899</v>
      </c>
      <c r="J29" s="87">
        <f aca="true" t="shared" si="5" ref="J29:Q29">SUM(J30:J32)</f>
        <v>7106453</v>
      </c>
      <c r="K29" s="87">
        <f t="shared" si="5"/>
        <v>6150000</v>
      </c>
      <c r="L29" s="87">
        <f t="shared" si="5"/>
        <v>6250000</v>
      </c>
      <c r="M29" s="87">
        <f t="shared" si="5"/>
        <v>6801170</v>
      </c>
      <c r="N29" s="87">
        <f t="shared" si="5"/>
        <v>5062028</v>
      </c>
      <c r="O29" s="87">
        <f t="shared" si="5"/>
        <v>7350523</v>
      </c>
      <c r="P29" s="87">
        <f t="shared" si="5"/>
        <v>6300000</v>
      </c>
      <c r="Q29" s="87">
        <f t="shared" si="5"/>
        <v>4523949</v>
      </c>
      <c r="R29" s="30"/>
    </row>
    <row r="30" spans="1:18" s="19" customFormat="1" ht="19.5" customHeight="1">
      <c r="A30" s="97"/>
      <c r="B30" s="593" t="s">
        <v>72</v>
      </c>
      <c r="C30" s="462" t="s">
        <v>90</v>
      </c>
      <c r="D30" s="87">
        <v>1422000</v>
      </c>
      <c r="E30" s="87">
        <v>2963314</v>
      </c>
      <c r="F30" s="96">
        <v>3340085</v>
      </c>
      <c r="G30" s="465">
        <v>2141585</v>
      </c>
      <c r="H30" s="481">
        <f>Arkusz5!J9</f>
        <v>3535040</v>
      </c>
      <c r="I30" s="490">
        <f>Arkusz5!J13</f>
        <v>3666899</v>
      </c>
      <c r="J30" s="87">
        <f>Arkusz5!J17</f>
        <v>3506453</v>
      </c>
      <c r="K30" s="87">
        <f>Arkusz5!J21</f>
        <v>2550000</v>
      </c>
      <c r="L30" s="87">
        <f>Arkusz5!J25</f>
        <v>2550000</v>
      </c>
      <c r="M30" s="87">
        <f>Arkusz5!J29</f>
        <v>2401170</v>
      </c>
      <c r="N30" s="87">
        <f>Arkusz5!J33</f>
        <v>62028</v>
      </c>
      <c r="O30" s="87">
        <f>Arkusz5!J37</f>
        <v>750523</v>
      </c>
      <c r="P30" s="87">
        <f>Arkusz5!J41</f>
        <v>600000</v>
      </c>
      <c r="Q30" s="87">
        <f>Arkusz5!J45</f>
        <v>423949</v>
      </c>
      <c r="R30" s="30"/>
    </row>
    <row r="31" spans="1:18" s="19" customFormat="1" ht="19.5" customHeight="1">
      <c r="A31" s="97"/>
      <c r="B31" s="593"/>
      <c r="C31" s="462" t="s">
        <v>91</v>
      </c>
      <c r="D31" s="87"/>
      <c r="E31" s="87">
        <v>500000</v>
      </c>
      <c r="F31" s="96">
        <v>3600000</v>
      </c>
      <c r="G31" s="465">
        <v>410000</v>
      </c>
      <c r="H31" s="481">
        <v>400000</v>
      </c>
      <c r="I31" s="490">
        <v>600000</v>
      </c>
      <c r="J31" s="87">
        <v>600000</v>
      </c>
      <c r="K31" s="87">
        <v>600000</v>
      </c>
      <c r="L31" s="87">
        <v>700000</v>
      </c>
      <c r="M31" s="87">
        <v>1400000</v>
      </c>
      <c r="N31" s="87"/>
      <c r="O31" s="87"/>
      <c r="P31" s="87"/>
      <c r="Q31" s="87"/>
      <c r="R31" s="30"/>
    </row>
    <row r="32" spans="1:18" s="19" customFormat="1" ht="19.5" customHeight="1">
      <c r="A32" s="97"/>
      <c r="B32" s="593"/>
      <c r="C32" s="462" t="s">
        <v>92</v>
      </c>
      <c r="D32" s="87"/>
      <c r="E32" s="87"/>
      <c r="F32" s="96"/>
      <c r="G32" s="465">
        <v>2000000</v>
      </c>
      <c r="H32" s="481">
        <f>'spł obligacji'!J9</f>
        <v>3000000</v>
      </c>
      <c r="I32" s="490">
        <f>'spł obligacji'!J13</f>
        <v>3000000</v>
      </c>
      <c r="J32" s="87">
        <f>'spł obligacji'!J17</f>
        <v>3000000</v>
      </c>
      <c r="K32" s="87">
        <f>'spł obligacji'!J21</f>
        <v>3000000</v>
      </c>
      <c r="L32" s="87">
        <f>'spł obligacji'!J25</f>
        <v>3000000</v>
      </c>
      <c r="M32" s="87">
        <f>'spł obligacji'!J29</f>
        <v>3000000</v>
      </c>
      <c r="N32" s="87">
        <f>'spł obligacji'!J33</f>
        <v>5000000</v>
      </c>
      <c r="O32" s="87">
        <f>'spł obligacji'!J37</f>
        <v>6600000</v>
      </c>
      <c r="P32" s="87">
        <f>'spł obligacji'!J41</f>
        <v>5700000</v>
      </c>
      <c r="Q32" s="87">
        <f>'spł obligacji'!J45</f>
        <v>4100000</v>
      </c>
      <c r="R32" s="30"/>
    </row>
    <row r="33" spans="1:17" ht="20.25" customHeight="1">
      <c r="A33" s="84" t="s">
        <v>69</v>
      </c>
      <c r="B33" s="551" t="s">
        <v>93</v>
      </c>
      <c r="C33" s="552"/>
      <c r="D33" s="86">
        <v>461950</v>
      </c>
      <c r="E33" s="86">
        <v>1038878</v>
      </c>
      <c r="F33" s="96">
        <v>2125773</v>
      </c>
      <c r="G33" s="465">
        <v>2331976</v>
      </c>
      <c r="H33" s="481">
        <f>Arkusz5!K9+'spł obligacji'!K4+161250</f>
        <v>2297890</v>
      </c>
      <c r="I33" s="489">
        <f>'spł obligacji'!K13+Arkusz5!K13+146250</f>
        <v>3169944</v>
      </c>
      <c r="J33" s="87">
        <f>'spł obligacji'!K17+Arkusz5!K17+123750</f>
        <v>2753401</v>
      </c>
      <c r="K33" s="86">
        <f>'spł obligacji'!K21+Arkusz5!K21+101250</f>
        <v>2471006</v>
      </c>
      <c r="L33" s="86">
        <f>'spł obligacji'!K25+Arkusz5!K25+78750</f>
        <v>2192506</v>
      </c>
      <c r="M33" s="86">
        <f>'spł obligacji'!K29+Arkusz5!K29+52500</f>
        <v>1912693.0000000002</v>
      </c>
      <c r="N33" s="86">
        <f>'spł obligacji'!K33+Arkusz5!K33</f>
        <v>1542331.2600000002</v>
      </c>
      <c r="O33" s="86">
        <f>'spł obligacji'!K37+Arkusz5!K37</f>
        <v>1095900.54</v>
      </c>
      <c r="P33" s="86">
        <f>Arkusz5!K41+'spł obligacji'!K41</f>
        <v>606301.43</v>
      </c>
      <c r="Q33" s="86">
        <f>'spł obligacji'!K45+Arkusz5!K45</f>
        <v>195507.32250000004</v>
      </c>
    </row>
    <row r="34" spans="1:17" ht="20.25" customHeight="1">
      <c r="A34" s="91">
        <v>8</v>
      </c>
      <c r="B34" s="568" t="s">
        <v>94</v>
      </c>
      <c r="C34" s="569"/>
      <c r="D34" s="92">
        <v>0</v>
      </c>
      <c r="E34" s="92">
        <v>0</v>
      </c>
      <c r="F34" s="94">
        <v>40000</v>
      </c>
      <c r="G34" s="464">
        <v>0</v>
      </c>
      <c r="H34" s="480">
        <v>0</v>
      </c>
      <c r="I34" s="471">
        <v>0</v>
      </c>
      <c r="J34" s="89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</row>
    <row r="35" spans="1:17" ht="37.5" customHeight="1">
      <c r="A35" s="88">
        <v>9</v>
      </c>
      <c r="B35" s="553" t="s">
        <v>216</v>
      </c>
      <c r="C35" s="554"/>
      <c r="D35" s="89">
        <f aca="true" t="shared" si="6" ref="D35:N35">D27-D28-D34</f>
        <v>35486267</v>
      </c>
      <c r="E35" s="89">
        <f t="shared" si="6"/>
        <v>9366057</v>
      </c>
      <c r="F35" s="94">
        <f>F27-F28-F34</f>
        <v>1205823</v>
      </c>
      <c r="G35" s="464">
        <f>G27-G28-G34</f>
        <v>19821485</v>
      </c>
      <c r="H35" s="480">
        <f>H27-H28-H34</f>
        <v>69679890</v>
      </c>
      <c r="I35" s="474">
        <f>I27-I28-I34</f>
        <v>74480461</v>
      </c>
      <c r="J35" s="89">
        <f t="shared" si="6"/>
        <v>21640000</v>
      </c>
      <c r="K35" s="89">
        <f t="shared" si="6"/>
        <v>37800000</v>
      </c>
      <c r="L35" s="89">
        <f t="shared" si="6"/>
        <v>18500000</v>
      </c>
      <c r="M35" s="89">
        <f t="shared" si="6"/>
        <v>20000000</v>
      </c>
      <c r="N35" s="89">
        <f t="shared" si="6"/>
        <v>22999999.740000002</v>
      </c>
      <c r="O35" s="89">
        <f>O27-O28-O34</f>
        <v>25500000.46</v>
      </c>
      <c r="P35" s="89">
        <f>P36</f>
        <v>26000000</v>
      </c>
      <c r="Q35" s="89">
        <f>Q36</f>
        <v>28000000</v>
      </c>
    </row>
    <row r="36" spans="1:17" ht="20.25" customHeight="1">
      <c r="A36" s="88">
        <v>10</v>
      </c>
      <c r="B36" s="553" t="s">
        <v>95</v>
      </c>
      <c r="C36" s="554"/>
      <c r="D36" s="89">
        <v>43312675.57</v>
      </c>
      <c r="E36" s="89">
        <v>33260582</v>
      </c>
      <c r="F36" s="94">
        <v>9778746</v>
      </c>
      <c r="G36" s="464">
        <v>33421485</v>
      </c>
      <c r="H36" s="480">
        <v>76579890</v>
      </c>
      <c r="I36" s="474">
        <f>I37</f>
        <v>74480461</v>
      </c>
      <c r="J36" s="89">
        <f>J37</f>
        <v>21640000</v>
      </c>
      <c r="K36" s="89">
        <f>K37</f>
        <v>37800000</v>
      </c>
      <c r="L36" s="89">
        <v>18500000</v>
      </c>
      <c r="M36" s="89">
        <v>20000000</v>
      </c>
      <c r="N36" s="89">
        <v>23000000</v>
      </c>
      <c r="O36" s="89">
        <v>25500000</v>
      </c>
      <c r="P36" s="89">
        <v>26000000</v>
      </c>
      <c r="Q36" s="89">
        <v>28000000</v>
      </c>
    </row>
    <row r="37" spans="1:17" ht="36" customHeight="1">
      <c r="A37" s="84" t="s">
        <v>67</v>
      </c>
      <c r="B37" s="98" t="s">
        <v>72</v>
      </c>
      <c r="C37" s="460" t="s">
        <v>96</v>
      </c>
      <c r="D37" s="86" t="s">
        <v>82</v>
      </c>
      <c r="E37" s="86" t="s">
        <v>82</v>
      </c>
      <c r="F37" s="96" t="s">
        <v>82</v>
      </c>
      <c r="G37" s="465">
        <v>10341509</v>
      </c>
      <c r="H37" s="481">
        <f>'Wykaz przedsięwzięć'!J13</f>
        <v>64935894</v>
      </c>
      <c r="I37" s="490">
        <f>'Wykaz przedsięwzięć'!K13</f>
        <v>74480461</v>
      </c>
      <c r="J37" s="87">
        <f>'Wykaz przedsięwzięć'!L14</f>
        <v>21640000</v>
      </c>
      <c r="K37" s="87">
        <f>'Wykaz przedsięwzięć'!M14</f>
        <v>37800000</v>
      </c>
      <c r="L37" s="87"/>
      <c r="M37" s="87"/>
      <c r="N37" s="87"/>
      <c r="O37" s="87"/>
      <c r="P37" s="87"/>
      <c r="Q37" s="87"/>
    </row>
    <row r="38" spans="1:17" ht="15">
      <c r="A38" s="99"/>
      <c r="B38" s="100"/>
      <c r="C38" s="101"/>
      <c r="D38" s="102"/>
      <c r="E38" s="102"/>
      <c r="F38" s="237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30" customHeight="1">
      <c r="A39" s="104"/>
      <c r="B39" s="105"/>
      <c r="C39" s="106"/>
      <c r="D39" s="107"/>
      <c r="E39" s="107"/>
      <c r="F39" s="23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</row>
    <row r="40" spans="1:17" ht="30" customHeight="1">
      <c r="A40" s="104"/>
      <c r="B40" s="105"/>
      <c r="C40" s="106"/>
      <c r="D40" s="107"/>
      <c r="E40" s="107"/>
      <c r="F40" s="23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</row>
    <row r="41" spans="1:17" ht="24.75" customHeight="1">
      <c r="A41" s="104"/>
      <c r="B41" s="105"/>
      <c r="C41" s="106"/>
      <c r="D41" s="107"/>
      <c r="E41" s="107"/>
      <c r="F41" s="23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</row>
    <row r="42" spans="1:17" ht="22.5" customHeight="1">
      <c r="A42" s="104"/>
      <c r="B42" s="105"/>
      <c r="C42" s="106"/>
      <c r="D42" s="107"/>
      <c r="E42" s="107"/>
      <c r="F42" s="23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</row>
    <row r="43" spans="1:17" ht="27" customHeight="1">
      <c r="A43" s="104"/>
      <c r="B43" s="105"/>
      <c r="C43" s="106"/>
      <c r="D43" s="107"/>
      <c r="E43" s="107"/>
      <c r="F43" s="23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</row>
    <row r="44" spans="1:17" ht="17.25" customHeight="1">
      <c r="A44" s="104"/>
      <c r="B44" s="105"/>
      <c r="C44" s="106"/>
      <c r="D44" s="107"/>
      <c r="E44" s="107"/>
      <c r="F44" s="23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</row>
    <row r="45" spans="1:17" ht="15">
      <c r="A45" s="104"/>
      <c r="B45" s="105"/>
      <c r="C45" s="106"/>
      <c r="D45" s="107"/>
      <c r="E45" s="107"/>
      <c r="F45" s="23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</row>
    <row r="46" spans="1:17" ht="18" customHeight="1">
      <c r="A46" s="104"/>
      <c r="B46" s="105"/>
      <c r="C46" s="106"/>
      <c r="D46" s="107"/>
      <c r="E46" s="107"/>
      <c r="F46" s="23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</row>
    <row r="47" spans="1:17" ht="6.75" customHeight="1" thickBot="1">
      <c r="A47" s="104"/>
      <c r="B47" s="105"/>
      <c r="C47" s="106"/>
      <c r="D47" s="107"/>
      <c r="E47" s="107"/>
      <c r="F47" s="23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</row>
    <row r="48" spans="1:17" ht="14.25" customHeight="1" thickBot="1">
      <c r="A48" s="581" t="s">
        <v>62</v>
      </c>
      <c r="B48" s="565" t="s">
        <v>63</v>
      </c>
      <c r="C48" s="565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49"/>
    </row>
    <row r="49" spans="1:17" ht="14.25" customHeight="1" thickBot="1">
      <c r="A49" s="581"/>
      <c r="B49" s="565"/>
      <c r="C49" s="565"/>
      <c r="D49" s="560" t="s">
        <v>64</v>
      </c>
      <c r="E49" s="560"/>
      <c r="F49" s="590"/>
      <c r="G49" s="556" t="s">
        <v>65</v>
      </c>
      <c r="H49" s="596"/>
      <c r="I49" s="596"/>
      <c r="J49" s="596"/>
      <c r="K49" s="596"/>
      <c r="L49" s="596"/>
      <c r="M49" s="596"/>
      <c r="N49" s="596"/>
      <c r="O49" s="596"/>
      <c r="P49" s="596"/>
      <c r="Q49" s="596"/>
    </row>
    <row r="50" spans="1:17" ht="13.5" customHeight="1" thickBot="1">
      <c r="A50" s="581"/>
      <c r="B50" s="565"/>
      <c r="C50" s="564"/>
      <c r="D50" s="535">
        <v>2008</v>
      </c>
      <c r="E50" s="535">
        <v>2009</v>
      </c>
      <c r="F50" s="591">
        <v>2010</v>
      </c>
      <c r="G50" s="541" t="s">
        <v>304</v>
      </c>
      <c r="H50" s="548">
        <v>2012</v>
      </c>
      <c r="I50" s="546">
        <v>2013</v>
      </c>
      <c r="J50" s="535">
        <v>2014</v>
      </c>
      <c r="K50" s="535">
        <v>2015</v>
      </c>
      <c r="L50" s="535">
        <v>2016</v>
      </c>
      <c r="M50" s="535">
        <v>2017</v>
      </c>
      <c r="N50" s="535">
        <v>2018</v>
      </c>
      <c r="O50" s="535">
        <v>2019</v>
      </c>
      <c r="P50" s="535">
        <v>2020</v>
      </c>
      <c r="Q50" s="535">
        <v>2021</v>
      </c>
    </row>
    <row r="51" spans="1:17" ht="24.75" customHeight="1" thickBot="1">
      <c r="A51" s="581"/>
      <c r="B51" s="565"/>
      <c r="C51" s="564"/>
      <c r="D51" s="535"/>
      <c r="E51" s="535"/>
      <c r="F51" s="591"/>
      <c r="G51" s="542"/>
      <c r="H51" s="548"/>
      <c r="I51" s="546"/>
      <c r="J51" s="535"/>
      <c r="K51" s="535"/>
      <c r="L51" s="535"/>
      <c r="M51" s="535"/>
      <c r="N51" s="535"/>
      <c r="O51" s="535"/>
      <c r="P51" s="535"/>
      <c r="Q51" s="535"/>
    </row>
    <row r="52" spans="1:17" ht="27" customHeight="1">
      <c r="A52" s="91">
        <v>11</v>
      </c>
      <c r="B52" s="568" t="s">
        <v>97</v>
      </c>
      <c r="C52" s="569"/>
      <c r="D52" s="92">
        <v>11546170</v>
      </c>
      <c r="E52" s="92">
        <v>25140000</v>
      </c>
      <c r="F52" s="94">
        <v>9000000</v>
      </c>
      <c r="G52" s="464">
        <f>SUM(G53:G56)</f>
        <v>13600000</v>
      </c>
      <c r="H52" s="480">
        <f>SUM(H53:H56)</f>
        <v>6900000</v>
      </c>
      <c r="I52" s="471">
        <v>0</v>
      </c>
      <c r="J52" s="89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</row>
    <row r="53" spans="1:17" ht="21" customHeight="1">
      <c r="A53" s="109"/>
      <c r="B53" s="585" t="s">
        <v>72</v>
      </c>
      <c r="C53" s="462" t="s">
        <v>90</v>
      </c>
      <c r="D53" s="86">
        <v>7546170</v>
      </c>
      <c r="E53" s="86">
        <v>6330000</v>
      </c>
      <c r="F53" s="87"/>
      <c r="G53" s="465">
        <v>2100000</v>
      </c>
      <c r="H53" s="481"/>
      <c r="I53" s="471"/>
      <c r="J53" s="89"/>
      <c r="K53" s="92"/>
      <c r="L53" s="92"/>
      <c r="M53" s="92"/>
      <c r="N53" s="92"/>
      <c r="O53" s="92"/>
      <c r="P53" s="92"/>
      <c r="Q53" s="92"/>
    </row>
    <row r="54" spans="1:17" ht="21" customHeight="1">
      <c r="A54" s="128"/>
      <c r="B54" s="586"/>
      <c r="C54" s="462" t="s">
        <v>91</v>
      </c>
      <c r="D54" s="86">
        <v>4000000</v>
      </c>
      <c r="E54" s="86">
        <v>4810000</v>
      </c>
      <c r="F54" s="87"/>
      <c r="G54" s="465">
        <v>0</v>
      </c>
      <c r="H54" s="481"/>
      <c r="I54" s="471"/>
      <c r="J54" s="89"/>
      <c r="K54" s="92"/>
      <c r="L54" s="92"/>
      <c r="M54" s="92"/>
      <c r="N54" s="92"/>
      <c r="O54" s="92"/>
      <c r="P54" s="92"/>
      <c r="Q54" s="92"/>
    </row>
    <row r="55" spans="1:17" ht="21" customHeight="1">
      <c r="A55" s="128"/>
      <c r="B55" s="586"/>
      <c r="C55" s="462" t="s">
        <v>217</v>
      </c>
      <c r="D55" s="86"/>
      <c r="E55" s="86">
        <v>14000000</v>
      </c>
      <c r="F55" s="87">
        <v>9000000</v>
      </c>
      <c r="G55" s="465">
        <v>7000000</v>
      </c>
      <c r="H55" s="481"/>
      <c r="I55" s="471"/>
      <c r="J55" s="89"/>
      <c r="K55" s="92"/>
      <c r="L55" s="92"/>
      <c r="M55" s="92"/>
      <c r="N55" s="92"/>
      <c r="O55" s="92"/>
      <c r="P55" s="92"/>
      <c r="Q55" s="92"/>
    </row>
    <row r="56" spans="1:17" ht="36.75" customHeight="1">
      <c r="A56" s="128"/>
      <c r="B56" s="587"/>
      <c r="C56" s="462" t="s">
        <v>218</v>
      </c>
      <c r="D56" s="86"/>
      <c r="E56" s="86"/>
      <c r="F56" s="87"/>
      <c r="G56" s="465">
        <v>4500000</v>
      </c>
      <c r="H56" s="481">
        <v>6900000</v>
      </c>
      <c r="I56" s="471"/>
      <c r="J56" s="89"/>
      <c r="K56" s="92"/>
      <c r="L56" s="92"/>
      <c r="M56" s="92"/>
      <c r="N56" s="92"/>
      <c r="O56" s="92"/>
      <c r="P56" s="92"/>
      <c r="Q56" s="92"/>
    </row>
    <row r="57" spans="1:18" ht="68.25" customHeight="1">
      <c r="A57" s="91" t="s">
        <v>67</v>
      </c>
      <c r="B57" s="574" t="s">
        <v>99</v>
      </c>
      <c r="C57" s="582"/>
      <c r="D57" s="86">
        <v>15733115</v>
      </c>
      <c r="E57" s="86">
        <v>3719761</v>
      </c>
      <c r="F57" s="87">
        <v>1245475</v>
      </c>
      <c r="G57" s="465">
        <v>427077</v>
      </c>
      <c r="H57" s="481">
        <v>35040</v>
      </c>
      <c r="I57" s="471"/>
      <c r="J57" s="89"/>
      <c r="K57" s="92"/>
      <c r="L57" s="92"/>
      <c r="M57" s="92"/>
      <c r="N57" s="92"/>
      <c r="O57" s="92"/>
      <c r="P57" s="92"/>
      <c r="Q57" s="92"/>
      <c r="R57" s="517"/>
    </row>
    <row r="58" spans="1:18" ht="21" customHeight="1">
      <c r="A58" s="91" t="s">
        <v>69</v>
      </c>
      <c r="B58" s="574" t="s">
        <v>100</v>
      </c>
      <c r="C58" s="582"/>
      <c r="D58" s="86">
        <v>4121265</v>
      </c>
      <c r="E58" s="86"/>
      <c r="F58" s="87"/>
      <c r="G58" s="465"/>
      <c r="H58" s="481"/>
      <c r="I58" s="471"/>
      <c r="J58" s="89"/>
      <c r="K58" s="92"/>
      <c r="L58" s="92"/>
      <c r="M58" s="92"/>
      <c r="N58" s="92"/>
      <c r="O58" s="92"/>
      <c r="P58" s="92"/>
      <c r="Q58" s="92"/>
      <c r="R58" s="517"/>
    </row>
    <row r="59" spans="1:18" ht="29.25" customHeight="1">
      <c r="A59" s="110">
        <v>12</v>
      </c>
      <c r="B59" s="579" t="s">
        <v>101</v>
      </c>
      <c r="C59" s="580"/>
      <c r="D59" s="111">
        <f aca="true" t="shared" si="7" ref="D59:J59">D35-D36+D52</f>
        <v>3719761.4299999997</v>
      </c>
      <c r="E59" s="233">
        <f t="shared" si="7"/>
        <v>1245475</v>
      </c>
      <c r="F59" s="234">
        <f t="shared" si="7"/>
        <v>427077</v>
      </c>
      <c r="G59" s="466">
        <f t="shared" si="7"/>
        <v>0</v>
      </c>
      <c r="H59" s="482">
        <f t="shared" si="7"/>
        <v>0</v>
      </c>
      <c r="I59" s="472">
        <f t="shared" si="7"/>
        <v>0</v>
      </c>
      <c r="J59" s="112">
        <f t="shared" si="7"/>
        <v>0</v>
      </c>
      <c r="K59" s="112">
        <f aca="true" t="shared" si="8" ref="K59:Q59">K35-K36+K52</f>
        <v>0</v>
      </c>
      <c r="L59" s="112">
        <f t="shared" si="8"/>
        <v>0</v>
      </c>
      <c r="M59" s="112">
        <f t="shared" si="8"/>
        <v>0</v>
      </c>
      <c r="N59" s="112">
        <f t="shared" si="8"/>
        <v>-0.25999999791383743</v>
      </c>
      <c r="O59" s="112">
        <f t="shared" si="8"/>
        <v>0.46000000089406967</v>
      </c>
      <c r="P59" s="112">
        <f t="shared" si="8"/>
        <v>0</v>
      </c>
      <c r="Q59" s="112">
        <f t="shared" si="8"/>
        <v>0</v>
      </c>
      <c r="R59" s="518"/>
    </row>
    <row r="60" spans="1:18" ht="22.5" customHeight="1">
      <c r="A60" s="113">
        <v>13</v>
      </c>
      <c r="B60" s="583" t="s">
        <v>102</v>
      </c>
      <c r="C60" s="584"/>
      <c r="D60" s="93">
        <f>'Prognoza długu'!C10</f>
        <v>24061046</v>
      </c>
      <c r="E60" s="93">
        <f>'Prognoza długu'!D10</f>
        <v>45737732</v>
      </c>
      <c r="F60" s="94">
        <f>'Prognoza długu'!E10</f>
        <v>47797647</v>
      </c>
      <c r="G60" s="467">
        <f>'Prognoza długu'!F10</f>
        <v>56846062</v>
      </c>
      <c r="H60" s="483">
        <f>'Prognoza długu'!G10</f>
        <v>56811022</v>
      </c>
      <c r="I60" s="473">
        <f>'Prognoza długu'!H10</f>
        <v>49544123</v>
      </c>
      <c r="J60" s="94">
        <f>'Prognoza długu'!I10</f>
        <v>42437670</v>
      </c>
      <c r="K60" s="94">
        <f>'Prognoza długu'!J10</f>
        <v>36287670</v>
      </c>
      <c r="L60" s="93">
        <f>'Prognoza długu'!K10</f>
        <v>30037670</v>
      </c>
      <c r="M60" s="93">
        <f>'Prognoza długu'!L10</f>
        <v>23236500</v>
      </c>
      <c r="N60" s="93">
        <f>'Prognoza długu'!M10</f>
        <v>18174472</v>
      </c>
      <c r="O60" s="93">
        <f>'Prognoza długu'!N10</f>
        <v>10823949</v>
      </c>
      <c r="P60" s="93">
        <f>'Prognoza długu'!O10</f>
        <v>4523949</v>
      </c>
      <c r="Q60" s="93">
        <f>'Prognoza długu'!P10</f>
        <v>0</v>
      </c>
      <c r="R60" s="519"/>
    </row>
    <row r="61" spans="1:18" ht="65.25" customHeight="1">
      <c r="A61" s="577"/>
      <c r="B61" s="578" t="s">
        <v>72</v>
      </c>
      <c r="C61" s="460" t="s">
        <v>103</v>
      </c>
      <c r="D61" s="92">
        <v>0</v>
      </c>
      <c r="E61" s="92">
        <v>0</v>
      </c>
      <c r="F61" s="89">
        <v>0</v>
      </c>
      <c r="G61" s="464">
        <v>2100000</v>
      </c>
      <c r="H61" s="480">
        <v>2050000</v>
      </c>
      <c r="I61" s="474">
        <v>2000000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517"/>
    </row>
    <row r="62" spans="1:17" ht="87.75" customHeight="1">
      <c r="A62" s="577"/>
      <c r="B62" s="578"/>
      <c r="C62" s="460" t="s">
        <v>231</v>
      </c>
      <c r="D62" s="92">
        <v>0</v>
      </c>
      <c r="E62" s="92">
        <v>0</v>
      </c>
      <c r="F62" s="89">
        <v>0</v>
      </c>
      <c r="G62" s="464"/>
      <c r="H62" s="480">
        <v>50000</v>
      </c>
      <c r="I62" s="474">
        <v>50000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</row>
    <row r="63" spans="1:17" ht="66" customHeight="1">
      <c r="A63" s="113">
        <v>14</v>
      </c>
      <c r="B63" s="566" t="s">
        <v>104</v>
      </c>
      <c r="C63" s="567"/>
      <c r="D63" s="92">
        <v>0</v>
      </c>
      <c r="E63" s="92">
        <v>0</v>
      </c>
      <c r="F63" s="89">
        <v>0</v>
      </c>
      <c r="G63" s="464">
        <v>0</v>
      </c>
      <c r="H63" s="480">
        <v>0</v>
      </c>
      <c r="I63" s="474">
        <v>0</v>
      </c>
      <c r="J63" s="89">
        <v>0</v>
      </c>
      <c r="K63" s="89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</row>
    <row r="64" spans="1:17" ht="39" customHeight="1">
      <c r="A64" s="113">
        <v>15</v>
      </c>
      <c r="B64" s="566" t="s">
        <v>220</v>
      </c>
      <c r="C64" s="567"/>
      <c r="D64" s="114">
        <f aca="true" t="shared" si="9" ref="D64:I64">D28/D13*100</f>
        <v>2.328259487896857</v>
      </c>
      <c r="E64" s="114">
        <f t="shared" si="9"/>
        <v>5.510659630018439</v>
      </c>
      <c r="F64" s="235">
        <f t="shared" si="9"/>
        <v>10.653694792951553</v>
      </c>
      <c r="G64" s="235">
        <f>G28/G13*100</f>
        <v>6.023511077561799</v>
      </c>
      <c r="H64" s="511">
        <f>H28/H13*100</f>
        <v>5.1823302180704935</v>
      </c>
      <c r="I64" s="235">
        <f t="shared" si="9"/>
        <v>6.251945113793282</v>
      </c>
      <c r="J64" s="235"/>
      <c r="K64" s="235"/>
      <c r="L64" s="114"/>
      <c r="M64" s="114"/>
      <c r="N64" s="114"/>
      <c r="O64" s="114"/>
      <c r="P64" s="114"/>
      <c r="Q64" s="114"/>
    </row>
    <row r="65" spans="1:17" ht="39" customHeight="1">
      <c r="A65" s="113">
        <v>16</v>
      </c>
      <c r="B65" s="566" t="s">
        <v>219</v>
      </c>
      <c r="C65" s="567"/>
      <c r="D65" s="114">
        <f aca="true" t="shared" si="10" ref="D65:I65">D60/D13*100</f>
        <v>29.735586739681374</v>
      </c>
      <c r="E65" s="114">
        <f t="shared" si="10"/>
        <v>55.98274647127499</v>
      </c>
      <c r="F65" s="235">
        <f t="shared" si="10"/>
        <v>56.16915056018266</v>
      </c>
      <c r="G65" s="468">
        <f t="shared" si="10"/>
        <v>49.7435679254916</v>
      </c>
      <c r="H65" s="484">
        <f t="shared" si="10"/>
        <v>31.887328944340275</v>
      </c>
      <c r="I65" s="475">
        <f t="shared" si="10"/>
        <v>29.67824060465635</v>
      </c>
      <c r="J65" s="235"/>
      <c r="K65" s="235"/>
      <c r="L65" s="114"/>
      <c r="M65" s="114"/>
      <c r="N65" s="114"/>
      <c r="O65" s="114"/>
      <c r="P65" s="114"/>
      <c r="Q65" s="114"/>
    </row>
    <row r="66" spans="1:17" ht="66.75" customHeight="1">
      <c r="A66" s="115">
        <v>17</v>
      </c>
      <c r="B66" s="566" t="s">
        <v>105</v>
      </c>
      <c r="C66" s="567"/>
      <c r="D66" s="458" t="s">
        <v>71</v>
      </c>
      <c r="E66" s="458" t="s">
        <v>71</v>
      </c>
      <c r="F66" s="236">
        <v>0.1911</v>
      </c>
      <c r="G66" s="469">
        <f>1/3*((D14+D16-'Prognoza długu'!C25)/WPF!D13+(WPF!E14+WPF!E16-'Prognoza długu'!D25)/WPF!E13+(WPF!F14+WPF!F16-'Prognoza długu'!E25)/WPF!F13)</f>
        <v>0.1291721492426357</v>
      </c>
      <c r="H66" s="485">
        <f>1/3*((E14+E16-'Prognoza długu'!D25)/WPF!E13+(WPF!F14+WPF!F16-'Prognoza długu'!E25)/WPF!F13+(WPF!G14+WPF!G16-'Prognoza długu'!F25)/WPF!G13)</f>
        <v>0.12224780731270857</v>
      </c>
      <c r="I66" s="476">
        <f>1/3*((F14+F16-'Prognoza długu'!E25)/WPF!F13+(WPF!G14+WPF!G16-'Prognoza długu'!F25)/WPF!G13+(WPF!H14+WPF!H16-'Prognoza długu'!G25)/WPF!H13)</f>
        <v>0.1897094567016238</v>
      </c>
      <c r="J66" s="236">
        <f>1/3*((G14+G16-'Prognoza długu'!F25)/WPF!G13+(WPF!H14+WPF!H16-'Prognoza długu'!G25)/WPF!H13+(WPF!I14+WPF!I16-'Prognoza długu'!H25)/WPF!I13)</f>
        <v>0.2655867225559326</v>
      </c>
      <c r="K66" s="236">
        <f>1/3*((H14+H16-'Prognoza długu'!G25)/WPF!H13+(WPF!I14+WPF!I16-'Prognoza długu'!H25)/WPF!I13+(WPF!J14+WPF!J16-'Prognoza długu'!I25)/WPF!J13)</f>
        <v>0.2862038488197982</v>
      </c>
      <c r="L66" s="458">
        <f>1/3*((I14+I16-'Prognoza długu'!H25)/WPF!I13+(WPF!J14+WPF!J16-'Prognoza długu'!I25)/WPF!J13+(WPF!K14+WPF!K16-'Prognoza długu'!J25)/WPF!K13)</f>
        <v>0.27546926315020936</v>
      </c>
      <c r="M66" s="458">
        <f>1/3*((J14+J16-'Prognoza długu'!I25)/WPF!J13+(WPF!K14+WPF!K16-'Prognoza długu'!J25)/WPF!K13+(WPF!L14+WPF!L16-'Prognoza długu'!K25)/WPF!L13)</f>
        <v>0.24044398817022028</v>
      </c>
      <c r="N66" s="458">
        <f>1/3*((K14+K16-'Prognoza długu'!J25)/WPF!K13+(WPF!L14+WPF!L16-'Prognoza długu'!K25)/WPF!L13+(WPF!M14+WPF!M16-'Prognoza długu'!L25)/WPF!M13)</f>
        <v>0.22577140787181008</v>
      </c>
      <c r="O66" s="458">
        <f>1/3*((L14+L16-'Prognoza długu'!K25)/WPF!L13+(WPF!M14+WPF!M16-'Prognoza długu'!L25)/WPF!M13+(WPF!N14+WPF!N16-'Prognoza długu'!M25)/WPF!N13)</f>
        <v>0.2048225586267341</v>
      </c>
      <c r="P66" s="458">
        <f>1/3*((M14+M16-'Prognoza długu'!L25)/WPF!M13+(WPF!N14+WPF!N16-'Prognoza długu'!M25)/WPF!N13+(WPF!O14+WPF!O16-'Prognoza długu'!N25)/WPF!O13)</f>
        <v>0.2171490773932484</v>
      </c>
      <c r="Q66" s="458">
        <f>1/3*((N14+N16-'Prognoza długu'!M25)/WPF!N13+(WPF!O14+WPF!O16-'Prognoza długu'!N25)/WPF!O13+(WPF!P14+WPF!P16-'Prognoza długu'!O25)/WPF!P13)</f>
        <v>0.22294167223691674</v>
      </c>
    </row>
    <row r="67" spans="1:17" ht="33.75" customHeight="1">
      <c r="A67" s="115">
        <v>18</v>
      </c>
      <c r="B67" s="566" t="s">
        <v>106</v>
      </c>
      <c r="C67" s="567"/>
      <c r="D67" s="116">
        <f aca="true" t="shared" si="11" ref="D67:Q67">D28/D13</f>
        <v>0.023282594878968572</v>
      </c>
      <c r="E67" s="116">
        <f t="shared" si="11"/>
        <v>0.055106596300184385</v>
      </c>
      <c r="F67" s="236">
        <f t="shared" si="11"/>
        <v>0.10653694792951553</v>
      </c>
      <c r="G67" s="469">
        <f t="shared" si="11"/>
        <v>0.06023511077561799</v>
      </c>
      <c r="H67" s="485">
        <f t="shared" si="11"/>
        <v>0.05182330218070494</v>
      </c>
      <c r="I67" s="476">
        <f t="shared" si="11"/>
        <v>0.06251945113793282</v>
      </c>
      <c r="J67" s="236">
        <f t="shared" si="11"/>
        <v>0.08631535865534297</v>
      </c>
      <c r="K67" s="236">
        <f t="shared" si="11"/>
        <v>0.06695493382339247</v>
      </c>
      <c r="L67" s="116">
        <f t="shared" si="11"/>
        <v>0.06762204378541244</v>
      </c>
      <c r="M67" s="116">
        <f t="shared" si="11"/>
        <v>0.06750839351544803</v>
      </c>
      <c r="N67" s="116">
        <f t="shared" si="11"/>
        <v>0.04909188090104212</v>
      </c>
      <c r="O67" s="116">
        <f t="shared" si="11"/>
        <v>0.060479011713379424</v>
      </c>
      <c r="P67" s="116">
        <f t="shared" si="11"/>
        <v>0.04811166930487907</v>
      </c>
      <c r="Q67" s="116">
        <f t="shared" si="11"/>
        <v>0.03217987218700601</v>
      </c>
    </row>
    <row r="68" spans="1:17" ht="38.25" customHeight="1">
      <c r="A68" s="115">
        <v>19</v>
      </c>
      <c r="B68" s="566" t="s">
        <v>107</v>
      </c>
      <c r="C68" s="567"/>
      <c r="D68" s="458" t="s">
        <v>71</v>
      </c>
      <c r="E68" s="458" t="s">
        <v>71</v>
      </c>
      <c r="F68" s="236">
        <f>F66-F67</f>
        <v>0.08456305207048447</v>
      </c>
      <c r="G68" s="469">
        <f aca="true" t="shared" si="12" ref="G68:Q68">G66-G67</f>
        <v>0.06893703846701771</v>
      </c>
      <c r="H68" s="485">
        <f t="shared" si="12"/>
        <v>0.07042450513200363</v>
      </c>
      <c r="I68" s="476">
        <f t="shared" si="12"/>
        <v>0.12719000556369098</v>
      </c>
      <c r="J68" s="236">
        <f t="shared" si="12"/>
        <v>0.17927136390058962</v>
      </c>
      <c r="K68" s="236">
        <f t="shared" si="12"/>
        <v>0.21924891499640575</v>
      </c>
      <c r="L68" s="236">
        <f t="shared" si="12"/>
        <v>0.20784721936479694</v>
      </c>
      <c r="M68" s="236">
        <f t="shared" si="12"/>
        <v>0.17293559465477226</v>
      </c>
      <c r="N68" s="236">
        <f t="shared" si="12"/>
        <v>0.17667952697076794</v>
      </c>
      <c r="O68" s="236">
        <f t="shared" si="12"/>
        <v>0.14434354691335466</v>
      </c>
      <c r="P68" s="236">
        <f t="shared" si="12"/>
        <v>0.16903740808836934</v>
      </c>
      <c r="Q68" s="236">
        <f t="shared" si="12"/>
        <v>0.19076180004991072</v>
      </c>
    </row>
    <row r="69" spans="1:17" ht="16.5" customHeight="1">
      <c r="A69" s="115">
        <v>20</v>
      </c>
      <c r="B69" s="566" t="s">
        <v>108</v>
      </c>
      <c r="C69" s="567"/>
      <c r="D69" s="93">
        <f>'Prognoza długu'!C24</f>
        <v>107175456.57</v>
      </c>
      <c r="E69" s="93">
        <f>'Prognoza długu'!D24</f>
        <v>105850665</v>
      </c>
      <c r="F69" s="93">
        <f>'Prognoza długu'!E24</f>
        <v>87934218</v>
      </c>
      <c r="G69" s="467">
        <f>'Prognoza długu'!F24</f>
        <v>123753708</v>
      </c>
      <c r="H69" s="483">
        <f>'Prognoza długu'!G24</f>
        <v>178161746</v>
      </c>
      <c r="I69" s="477">
        <f>'Prognoza długu'!H24</f>
        <v>159670635</v>
      </c>
      <c r="J69" s="93">
        <f>'Prognoza długu'!I24</f>
        <v>107124133</v>
      </c>
      <c r="K69" s="93">
        <f>'Prognoza długu'!J24</f>
        <v>122608338</v>
      </c>
      <c r="L69" s="93">
        <f>'Prognoza długu'!K24</f>
        <v>118598430</v>
      </c>
      <c r="M69" s="93">
        <f>'Prognoza długu'!L24</f>
        <v>122277046</v>
      </c>
      <c r="N69" s="93">
        <f>'Prognoza długu'!M24</f>
        <v>129468553.26</v>
      </c>
      <c r="O69" s="93">
        <f>'Prognoza długu'!N24</f>
        <v>132308232.54</v>
      </c>
      <c r="P69" s="93">
        <f>'Prognoza długu'!O24</f>
        <v>137247325.43</v>
      </c>
      <c r="Q69" s="93">
        <f>'Prognoza długu'!P24</f>
        <v>142134692.3225</v>
      </c>
    </row>
    <row r="70" spans="1:17" ht="16.5" customHeight="1">
      <c r="A70" s="115">
        <v>21</v>
      </c>
      <c r="B70" s="566" t="s">
        <v>109</v>
      </c>
      <c r="C70" s="567"/>
      <c r="D70" s="93">
        <f>'Prognoza długu'!C25</f>
        <v>63862781</v>
      </c>
      <c r="E70" s="93">
        <f>'Prognoza długu'!D25</f>
        <v>72590083</v>
      </c>
      <c r="F70" s="93">
        <f>'Prognoza długu'!E25</f>
        <v>78155472</v>
      </c>
      <c r="G70" s="467">
        <f>'Prognoza długu'!F25</f>
        <v>90332223</v>
      </c>
      <c r="H70" s="483">
        <f>'Prognoza długu'!G25</f>
        <v>101581856</v>
      </c>
      <c r="I70" s="477">
        <f>'Prognoza długu'!H25</f>
        <v>85190174</v>
      </c>
      <c r="J70" s="93">
        <f>'Prognoza długu'!I25</f>
        <v>85484133</v>
      </c>
      <c r="K70" s="93">
        <f>'Prognoza długu'!J25</f>
        <v>84808338</v>
      </c>
      <c r="L70" s="93">
        <f>'Prognoza długu'!K25</f>
        <v>100098430</v>
      </c>
      <c r="M70" s="93">
        <f>'Prognoza długu'!L25</f>
        <v>102277046</v>
      </c>
      <c r="N70" s="93">
        <f>'Prognoza długu'!M25</f>
        <v>106468553.26</v>
      </c>
      <c r="O70" s="93">
        <f>'Prognoza długu'!N25</f>
        <v>106808232.54</v>
      </c>
      <c r="P70" s="93">
        <f>'Prognoza długu'!O25</f>
        <v>111247325.43</v>
      </c>
      <c r="Q70" s="93">
        <f>'Prognoza długu'!P25</f>
        <v>114134692.3225</v>
      </c>
    </row>
    <row r="71" spans="1:17" ht="35.25" customHeight="1">
      <c r="A71" s="115">
        <v>22</v>
      </c>
      <c r="B71" s="566" t="s">
        <v>139</v>
      </c>
      <c r="C71" s="567"/>
      <c r="D71" s="93">
        <f aca="true" t="shared" si="13" ref="D71:N71">D13-D69</f>
        <v>-26258788.569999993</v>
      </c>
      <c r="E71" s="93">
        <f t="shared" si="13"/>
        <v>-24150972</v>
      </c>
      <c r="F71" s="93">
        <f t="shared" si="13"/>
        <v>-2838313</v>
      </c>
      <c r="G71" s="467">
        <f t="shared" si="13"/>
        <v>-9475492</v>
      </c>
      <c r="H71" s="483">
        <f t="shared" si="13"/>
        <v>0</v>
      </c>
      <c r="I71" s="477">
        <f t="shared" si="13"/>
        <v>7266899</v>
      </c>
      <c r="J71" s="93">
        <f t="shared" si="13"/>
        <v>7106453</v>
      </c>
      <c r="K71" s="93">
        <f t="shared" si="13"/>
        <v>6150000</v>
      </c>
      <c r="L71" s="93">
        <f t="shared" si="13"/>
        <v>6250000</v>
      </c>
      <c r="M71" s="93">
        <f t="shared" si="13"/>
        <v>6801170</v>
      </c>
      <c r="N71" s="93">
        <f t="shared" si="13"/>
        <v>5062027.739999995</v>
      </c>
      <c r="O71" s="93">
        <f>O13-O69</f>
        <v>7350523.459999993</v>
      </c>
      <c r="P71" s="93">
        <f>P13-P69</f>
        <v>6299999.569999993</v>
      </c>
      <c r="Q71" s="93">
        <f>Q13-Q69</f>
        <v>4523948.67750001</v>
      </c>
    </row>
    <row r="72" spans="1:17" ht="17.25" customHeight="1">
      <c r="A72" s="113">
        <v>23</v>
      </c>
      <c r="B72" s="569" t="s">
        <v>212</v>
      </c>
      <c r="C72" s="573"/>
      <c r="D72" s="92">
        <f>SUM(D73:D77)</f>
        <v>26258789</v>
      </c>
      <c r="E72" s="92">
        <f>SUM(E73:E77)</f>
        <v>24150972</v>
      </c>
      <c r="F72" s="92">
        <f>SUM(F73:F77)</f>
        <v>2838313</v>
      </c>
      <c r="G72" s="464">
        <f>SUM(G73:G77)</f>
        <v>9475492</v>
      </c>
      <c r="H72" s="483"/>
      <c r="I72" s="477"/>
      <c r="J72" s="93"/>
      <c r="K72" s="93"/>
      <c r="L72" s="93"/>
      <c r="M72" s="93"/>
      <c r="N72" s="93"/>
      <c r="O72" s="93"/>
      <c r="P72" s="93"/>
      <c r="Q72" s="93"/>
    </row>
    <row r="73" spans="1:17" ht="15" customHeight="1">
      <c r="A73" s="117" t="s">
        <v>67</v>
      </c>
      <c r="B73" s="572" t="s">
        <v>90</v>
      </c>
      <c r="C73" s="573"/>
      <c r="D73" s="86">
        <v>7546170</v>
      </c>
      <c r="E73" s="86">
        <v>6330000</v>
      </c>
      <c r="F73" s="86"/>
      <c r="G73" s="465">
        <v>2100000</v>
      </c>
      <c r="H73" s="483"/>
      <c r="I73" s="477"/>
      <c r="J73" s="93"/>
      <c r="K73" s="93"/>
      <c r="L73" s="93"/>
      <c r="M73" s="93"/>
      <c r="N73" s="93"/>
      <c r="O73" s="93"/>
      <c r="P73" s="93"/>
      <c r="Q73" s="93"/>
    </row>
    <row r="74" spans="1:17" ht="15" customHeight="1">
      <c r="A74" s="117" t="s">
        <v>69</v>
      </c>
      <c r="B74" s="572" t="s">
        <v>91</v>
      </c>
      <c r="C74" s="573"/>
      <c r="D74" s="86">
        <v>4000000</v>
      </c>
      <c r="E74" s="86">
        <v>4810000</v>
      </c>
      <c r="F74" s="86"/>
      <c r="G74" s="465"/>
      <c r="H74" s="483"/>
      <c r="I74" s="477"/>
      <c r="J74" s="93"/>
      <c r="K74" s="93"/>
      <c r="L74" s="93"/>
      <c r="M74" s="93"/>
      <c r="N74" s="93"/>
      <c r="O74" s="93"/>
      <c r="P74" s="93"/>
      <c r="Q74" s="93"/>
    </row>
    <row r="75" spans="1:17" ht="15" customHeight="1">
      <c r="A75" s="117" t="s">
        <v>77</v>
      </c>
      <c r="B75" s="572" t="s">
        <v>210</v>
      </c>
      <c r="C75" s="573"/>
      <c r="D75" s="86">
        <v>2699265</v>
      </c>
      <c r="E75" s="86"/>
      <c r="F75" s="86"/>
      <c r="G75" s="465"/>
      <c r="H75" s="483"/>
      <c r="I75" s="477"/>
      <c r="J75" s="93"/>
      <c r="K75" s="93"/>
      <c r="L75" s="93"/>
      <c r="M75" s="93"/>
      <c r="N75" s="93"/>
      <c r="O75" s="93"/>
      <c r="P75" s="93"/>
      <c r="Q75" s="93"/>
    </row>
    <row r="76" spans="1:17" ht="48.75" customHeight="1">
      <c r="A76" s="117" t="s">
        <v>80</v>
      </c>
      <c r="B76" s="574" t="s">
        <v>99</v>
      </c>
      <c r="C76" s="573"/>
      <c r="D76" s="86">
        <v>12013354</v>
      </c>
      <c r="E76" s="86"/>
      <c r="F76" s="86"/>
      <c r="G76" s="465">
        <v>375492</v>
      </c>
      <c r="H76" s="483"/>
      <c r="I76" s="477"/>
      <c r="J76" s="93"/>
      <c r="K76" s="93"/>
      <c r="L76" s="93"/>
      <c r="M76" s="93"/>
      <c r="N76" s="93"/>
      <c r="O76" s="93"/>
      <c r="P76" s="93"/>
      <c r="Q76" s="93"/>
    </row>
    <row r="77" spans="1:18" ht="15" customHeight="1">
      <c r="A77" s="117" t="s">
        <v>141</v>
      </c>
      <c r="B77" s="575" t="s">
        <v>215</v>
      </c>
      <c r="C77" s="576"/>
      <c r="D77" s="86"/>
      <c r="E77" s="86">
        <v>13010972</v>
      </c>
      <c r="F77" s="86">
        <v>2838313</v>
      </c>
      <c r="G77" s="465">
        <v>7000000</v>
      </c>
      <c r="H77" s="483"/>
      <c r="I77" s="477"/>
      <c r="J77" s="93"/>
      <c r="K77" s="93"/>
      <c r="L77" s="93"/>
      <c r="M77" s="93"/>
      <c r="N77" s="93"/>
      <c r="O77" s="93"/>
      <c r="P77" s="93"/>
      <c r="Q77" s="93"/>
      <c r="R77" s="36"/>
    </row>
    <row r="78" spans="1:18" ht="17.25" customHeight="1">
      <c r="A78" s="113">
        <v>24</v>
      </c>
      <c r="B78" s="569" t="s">
        <v>213</v>
      </c>
      <c r="C78" s="573"/>
      <c r="D78" s="92"/>
      <c r="E78" s="92"/>
      <c r="F78" s="92"/>
      <c r="G78" s="464"/>
      <c r="H78" s="483">
        <f>SUM(H79:H81)</f>
        <v>0</v>
      </c>
      <c r="I78" s="477">
        <f aca="true" t="shared" si="14" ref="I78:Q78">SUM(I79:I81)</f>
        <v>7266899</v>
      </c>
      <c r="J78" s="93">
        <f t="shared" si="14"/>
        <v>7106453</v>
      </c>
      <c r="K78" s="93">
        <f t="shared" si="14"/>
        <v>6150000</v>
      </c>
      <c r="L78" s="93">
        <f t="shared" si="14"/>
        <v>6250000</v>
      </c>
      <c r="M78" s="93">
        <f t="shared" si="14"/>
        <v>6801170</v>
      </c>
      <c r="N78" s="93">
        <f t="shared" si="14"/>
        <v>5062028</v>
      </c>
      <c r="O78" s="93">
        <f t="shared" si="14"/>
        <v>7350523</v>
      </c>
      <c r="P78" s="93">
        <f t="shared" si="14"/>
        <v>6300000</v>
      </c>
      <c r="Q78" s="93">
        <f t="shared" si="14"/>
        <v>4523949</v>
      </c>
      <c r="R78" s="457"/>
    </row>
    <row r="79" spans="1:18" ht="15" customHeight="1">
      <c r="A79" s="118" t="s">
        <v>67</v>
      </c>
      <c r="B79" s="572" t="s">
        <v>209</v>
      </c>
      <c r="C79" s="573"/>
      <c r="D79" s="87"/>
      <c r="E79" s="87"/>
      <c r="F79" s="119"/>
      <c r="G79" s="465"/>
      <c r="H79" s="486"/>
      <c r="I79" s="478">
        <f>I30</f>
        <v>3666899</v>
      </c>
      <c r="J79" s="85">
        <f aca="true" t="shared" si="15" ref="J79:Q79">J30</f>
        <v>3506453</v>
      </c>
      <c r="K79" s="85">
        <f t="shared" si="15"/>
        <v>2550000</v>
      </c>
      <c r="L79" s="85">
        <f t="shared" si="15"/>
        <v>2550000</v>
      </c>
      <c r="M79" s="85">
        <f t="shared" si="15"/>
        <v>2401170</v>
      </c>
      <c r="N79" s="85">
        <f t="shared" si="15"/>
        <v>62028</v>
      </c>
      <c r="O79" s="85">
        <f t="shared" si="15"/>
        <v>750523</v>
      </c>
      <c r="P79" s="85">
        <f t="shared" si="15"/>
        <v>600000</v>
      </c>
      <c r="Q79" s="85">
        <f t="shared" si="15"/>
        <v>423949</v>
      </c>
      <c r="R79" s="36"/>
    </row>
    <row r="80" spans="1:17" ht="15" customHeight="1">
      <c r="A80" s="118" t="s">
        <v>69</v>
      </c>
      <c r="B80" s="572" t="s">
        <v>214</v>
      </c>
      <c r="C80" s="573"/>
      <c r="D80" s="87"/>
      <c r="E80" s="87"/>
      <c r="F80" s="119"/>
      <c r="G80" s="465"/>
      <c r="H80" s="486"/>
      <c r="I80" s="478">
        <f>I31</f>
        <v>600000</v>
      </c>
      <c r="J80" s="85">
        <f aca="true" t="shared" si="16" ref="J80:Q80">J31</f>
        <v>600000</v>
      </c>
      <c r="K80" s="85">
        <f t="shared" si="16"/>
        <v>600000</v>
      </c>
      <c r="L80" s="85">
        <f t="shared" si="16"/>
        <v>700000</v>
      </c>
      <c r="M80" s="85">
        <f t="shared" si="16"/>
        <v>1400000</v>
      </c>
      <c r="N80" s="85">
        <f t="shared" si="16"/>
        <v>0</v>
      </c>
      <c r="O80" s="85">
        <f t="shared" si="16"/>
        <v>0</v>
      </c>
      <c r="P80" s="85">
        <f t="shared" si="16"/>
        <v>0</v>
      </c>
      <c r="Q80" s="85">
        <f t="shared" si="16"/>
        <v>0</v>
      </c>
    </row>
    <row r="81" spans="1:17" ht="15" customHeight="1">
      <c r="A81" s="118" t="s">
        <v>77</v>
      </c>
      <c r="B81" s="572" t="s">
        <v>92</v>
      </c>
      <c r="C81" s="573"/>
      <c r="D81" s="87"/>
      <c r="E81" s="87"/>
      <c r="F81" s="119"/>
      <c r="G81" s="465"/>
      <c r="H81" s="486"/>
      <c r="I81" s="478">
        <f>I32</f>
        <v>3000000</v>
      </c>
      <c r="J81" s="85">
        <f aca="true" t="shared" si="17" ref="J81:Q81">J32</f>
        <v>3000000</v>
      </c>
      <c r="K81" s="85">
        <f t="shared" si="17"/>
        <v>3000000</v>
      </c>
      <c r="L81" s="85">
        <f t="shared" si="17"/>
        <v>3000000</v>
      </c>
      <c r="M81" s="85">
        <f t="shared" si="17"/>
        <v>3000000</v>
      </c>
      <c r="N81" s="85">
        <f t="shared" si="17"/>
        <v>5000000</v>
      </c>
      <c r="O81" s="85">
        <f t="shared" si="17"/>
        <v>6600000</v>
      </c>
      <c r="P81" s="85">
        <f t="shared" si="17"/>
        <v>5700000</v>
      </c>
      <c r="Q81" s="85">
        <f t="shared" si="17"/>
        <v>4100000</v>
      </c>
    </row>
    <row r="82" spans="1:17" ht="19.5" customHeight="1">
      <c r="A82" s="115">
        <v>25</v>
      </c>
      <c r="B82" s="566" t="s">
        <v>110</v>
      </c>
      <c r="C82" s="567"/>
      <c r="D82" s="93">
        <f>'Prognoza długu'!C46</f>
        <v>31400550</v>
      </c>
      <c r="E82" s="93">
        <f>'Prognoza długu'!D46</f>
        <v>28859761</v>
      </c>
      <c r="F82" s="93">
        <f>'Prognoza długu'!E46</f>
        <v>10245475</v>
      </c>
      <c r="G82" s="467">
        <f>'Prognoza długu'!F46</f>
        <v>14027077</v>
      </c>
      <c r="H82" s="483">
        <f>H52+H57</f>
        <v>6935040</v>
      </c>
      <c r="I82" s="477">
        <f aca="true" t="shared" si="18" ref="I82:Q82">I52</f>
        <v>0</v>
      </c>
      <c r="J82" s="93">
        <f t="shared" si="18"/>
        <v>0</v>
      </c>
      <c r="K82" s="93">
        <f t="shared" si="18"/>
        <v>0</v>
      </c>
      <c r="L82" s="93">
        <f t="shared" si="18"/>
        <v>0</v>
      </c>
      <c r="M82" s="93">
        <f t="shared" si="18"/>
        <v>0</v>
      </c>
      <c r="N82" s="93">
        <f t="shared" si="18"/>
        <v>0</v>
      </c>
      <c r="O82" s="93">
        <f t="shared" si="18"/>
        <v>0</v>
      </c>
      <c r="P82" s="93">
        <f t="shared" si="18"/>
        <v>0</v>
      </c>
      <c r="Q82" s="93">
        <f t="shared" si="18"/>
        <v>0</v>
      </c>
    </row>
    <row r="83" spans="1:17" ht="19.5" customHeight="1" thickBot="1">
      <c r="A83" s="120">
        <v>26</v>
      </c>
      <c r="B83" s="570" t="s">
        <v>111</v>
      </c>
      <c r="C83" s="571"/>
      <c r="D83" s="121">
        <f aca="true" t="shared" si="19" ref="D83:P83">D29</f>
        <v>1422000</v>
      </c>
      <c r="E83" s="121">
        <f t="shared" si="19"/>
        <v>3463314</v>
      </c>
      <c r="F83" s="239">
        <f t="shared" si="19"/>
        <v>6940085</v>
      </c>
      <c r="G83" s="470">
        <f t="shared" si="19"/>
        <v>4551585</v>
      </c>
      <c r="H83" s="487">
        <f>H29</f>
        <v>6935040</v>
      </c>
      <c r="I83" s="479">
        <f t="shared" si="19"/>
        <v>7266899</v>
      </c>
      <c r="J83" s="121">
        <f t="shared" si="19"/>
        <v>7106453</v>
      </c>
      <c r="K83" s="121">
        <f t="shared" si="19"/>
        <v>6150000</v>
      </c>
      <c r="L83" s="121">
        <f t="shared" si="19"/>
        <v>6250000</v>
      </c>
      <c r="M83" s="121">
        <f t="shared" si="19"/>
        <v>6801170</v>
      </c>
      <c r="N83" s="121">
        <f t="shared" si="19"/>
        <v>5062028</v>
      </c>
      <c r="O83" s="121">
        <f t="shared" si="19"/>
        <v>7350523</v>
      </c>
      <c r="P83" s="121">
        <f t="shared" si="19"/>
        <v>6300000</v>
      </c>
      <c r="Q83" s="121">
        <f>Q29</f>
        <v>4523949</v>
      </c>
    </row>
    <row r="84" spans="1:17" ht="15.75">
      <c r="A84" s="122"/>
      <c r="B84" s="123"/>
      <c r="C84" s="124"/>
      <c r="D84" s="126"/>
      <c r="E84" s="126"/>
      <c r="F84" s="125"/>
      <c r="G84" s="126"/>
      <c r="H84" s="126"/>
      <c r="I84" s="127"/>
      <c r="J84" s="127"/>
      <c r="K84" s="127"/>
      <c r="L84" s="127"/>
      <c r="M84" s="127"/>
      <c r="N84" s="127"/>
      <c r="O84" s="127"/>
      <c r="P84" s="127"/>
      <c r="Q84" s="127"/>
    </row>
    <row r="85" spans="1:17" ht="12.75">
      <c r="A85" s="82"/>
      <c r="B85" s="82"/>
      <c r="C85" s="79"/>
      <c r="D85" s="81"/>
      <c r="E85" s="81"/>
      <c r="F85" s="80"/>
      <c r="G85" s="81"/>
      <c r="H85" s="81"/>
      <c r="I85" s="82"/>
      <c r="J85" s="82"/>
      <c r="K85" s="82"/>
      <c r="L85" s="82"/>
      <c r="M85" s="82"/>
      <c r="N85" s="82"/>
      <c r="O85" s="82"/>
      <c r="P85" s="82"/>
      <c r="Q85" s="82"/>
    </row>
    <row r="86" spans="1:17" ht="12.75">
      <c r="A86" s="82"/>
      <c r="B86" s="82"/>
      <c r="C86" s="79"/>
      <c r="D86" s="81"/>
      <c r="E86" s="81"/>
      <c r="F86" s="80"/>
      <c r="G86" s="81"/>
      <c r="H86" s="81"/>
      <c r="I86" s="82"/>
      <c r="J86" s="82"/>
      <c r="K86" s="82"/>
      <c r="L86" s="82"/>
      <c r="M86" s="82"/>
      <c r="N86" s="82"/>
      <c r="O86" s="82"/>
      <c r="P86" s="82"/>
      <c r="Q86" s="82"/>
    </row>
    <row r="87" spans="1:17" ht="12.75">
      <c r="A87" s="82"/>
      <c r="B87" s="82"/>
      <c r="C87" s="79"/>
      <c r="D87" s="81"/>
      <c r="E87" s="81"/>
      <c r="F87" s="80"/>
      <c r="G87" s="81"/>
      <c r="H87" s="81"/>
      <c r="I87" s="82"/>
      <c r="J87" s="82"/>
      <c r="K87" s="82"/>
      <c r="L87" s="82"/>
      <c r="M87" s="82"/>
      <c r="N87" s="82"/>
      <c r="O87" s="82"/>
      <c r="P87" s="82"/>
      <c r="Q87" s="82"/>
    </row>
    <row r="88" spans="4:8" ht="12.75">
      <c r="D88" s="14"/>
      <c r="E88" s="14"/>
      <c r="F88" s="34"/>
      <c r="G88" s="14"/>
      <c r="H88" s="14"/>
    </row>
  </sheetData>
  <sheetProtection/>
  <mergeCells count="84">
    <mergeCell ref="G49:Q49"/>
    <mergeCell ref="M50:M51"/>
    <mergeCell ref="D50:D51"/>
    <mergeCell ref="E50:E51"/>
    <mergeCell ref="G50:G51"/>
    <mergeCell ref="J50:J51"/>
    <mergeCell ref="A6:N8"/>
    <mergeCell ref="D49:F49"/>
    <mergeCell ref="F50:F51"/>
    <mergeCell ref="B72:C72"/>
    <mergeCell ref="B73:C73"/>
    <mergeCell ref="B29:C29"/>
    <mergeCell ref="B30:B32"/>
    <mergeCell ref="B33:C33"/>
    <mergeCell ref="B14:C14"/>
    <mergeCell ref="B13:C13"/>
    <mergeCell ref="A61:A62"/>
    <mergeCell ref="B61:B62"/>
    <mergeCell ref="B52:C52"/>
    <mergeCell ref="B59:C59"/>
    <mergeCell ref="A48:A51"/>
    <mergeCell ref="B34:C34"/>
    <mergeCell ref="B57:C57"/>
    <mergeCell ref="B60:C60"/>
    <mergeCell ref="B53:B56"/>
    <mergeCell ref="B58:C58"/>
    <mergeCell ref="B78:C78"/>
    <mergeCell ref="Q50:Q51"/>
    <mergeCell ref="O50:O51"/>
    <mergeCell ref="P50:P51"/>
    <mergeCell ref="I50:I51"/>
    <mergeCell ref="K50:K51"/>
    <mergeCell ref="N50:N51"/>
    <mergeCell ref="L50:L51"/>
    <mergeCell ref="B64:C64"/>
    <mergeCell ref="H50:H51"/>
    <mergeCell ref="B82:C82"/>
    <mergeCell ref="B83:C83"/>
    <mergeCell ref="B68:C68"/>
    <mergeCell ref="B74:C74"/>
    <mergeCell ref="B75:C75"/>
    <mergeCell ref="B76:C76"/>
    <mergeCell ref="B77:C77"/>
    <mergeCell ref="B79:C79"/>
    <mergeCell ref="B80:C80"/>
    <mergeCell ref="B81:C81"/>
    <mergeCell ref="O11:O12"/>
    <mergeCell ref="N11:N12"/>
    <mergeCell ref="M11:M12"/>
    <mergeCell ref="B69:C69"/>
    <mergeCell ref="B65:C65"/>
    <mergeCell ref="B66:C66"/>
    <mergeCell ref="B67:C67"/>
    <mergeCell ref="B26:C26"/>
    <mergeCell ref="B27:C27"/>
    <mergeCell ref="D48:Q48"/>
    <mergeCell ref="B48:C51"/>
    <mergeCell ref="B70:C70"/>
    <mergeCell ref="B71:C71"/>
    <mergeCell ref="B23:C23"/>
    <mergeCell ref="B24:C24"/>
    <mergeCell ref="B63:C63"/>
    <mergeCell ref="B36:C36"/>
    <mergeCell ref="B28:C28"/>
    <mergeCell ref="B15:C15"/>
    <mergeCell ref="B17:C17"/>
    <mergeCell ref="B18:B22"/>
    <mergeCell ref="B9:C12"/>
    <mergeCell ref="B35:C35"/>
    <mergeCell ref="D9:Q9"/>
    <mergeCell ref="G10:Q10"/>
    <mergeCell ref="J11:J12"/>
    <mergeCell ref="Q11:Q12"/>
    <mergeCell ref="P11:P12"/>
    <mergeCell ref="L11:L12"/>
    <mergeCell ref="K11:K12"/>
    <mergeCell ref="A9:A12"/>
    <mergeCell ref="F11:F12"/>
    <mergeCell ref="G11:G12"/>
    <mergeCell ref="E11:E12"/>
    <mergeCell ref="D11:D12"/>
    <mergeCell ref="I11:I12"/>
    <mergeCell ref="H11:H12"/>
    <mergeCell ref="D10:F10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zoomScale="90" zoomScaleNormal="90" zoomScalePageLayoutView="0" workbookViewId="0" topLeftCell="A11">
      <selection activeCell="A1" sqref="A1:P56"/>
    </sheetView>
  </sheetViews>
  <sheetFormatPr defaultColWidth="11.57421875" defaultRowHeight="12.75"/>
  <cols>
    <col min="1" max="1" width="3.7109375" style="0" customWidth="1"/>
    <col min="2" max="2" width="39.8515625" style="0" customWidth="1"/>
    <col min="3" max="4" width="11.7109375" style="0" customWidth="1"/>
    <col min="5" max="5" width="12.7109375" style="0" customWidth="1"/>
    <col min="6" max="6" width="11.7109375" style="0" customWidth="1"/>
    <col min="7" max="7" width="13.7109375" style="0" customWidth="1"/>
    <col min="8" max="8" width="12.28125" style="0" customWidth="1"/>
    <col min="9" max="9" width="11.8515625" style="0" customWidth="1"/>
    <col min="10" max="10" width="12.28125" style="0" customWidth="1"/>
    <col min="11" max="11" width="12.8515625" style="0" customWidth="1"/>
    <col min="12" max="12" width="11.7109375" style="0" customWidth="1"/>
    <col min="13" max="13" width="11.8515625" style="0" customWidth="1"/>
    <col min="14" max="14" width="12.421875" style="0" customWidth="1"/>
    <col min="15" max="16" width="12.28125" style="0" customWidth="1"/>
  </cols>
  <sheetData>
    <row r="1" spans="1:16" ht="17.25" customHeight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60" t="s">
        <v>112</v>
      </c>
      <c r="M1" s="60"/>
      <c r="N1" s="130"/>
      <c r="O1" s="130"/>
      <c r="P1" s="130"/>
    </row>
    <row r="2" spans="1:16" ht="2.25" customHeigh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65"/>
      <c r="M2" s="66"/>
      <c r="N2" s="130"/>
      <c r="O2" s="130"/>
      <c r="P2" s="130"/>
    </row>
    <row r="3" spans="1:16" ht="17.25" customHeight="1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70" t="s">
        <v>331</v>
      </c>
      <c r="M3" s="66"/>
      <c r="N3" s="130"/>
      <c r="O3" s="130"/>
      <c r="P3" s="130"/>
    </row>
    <row r="4" spans="1:16" ht="17.25" customHeight="1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70" t="s">
        <v>49</v>
      </c>
      <c r="M4" s="66"/>
      <c r="N4" s="130"/>
      <c r="O4" s="130"/>
      <c r="P4" s="130"/>
    </row>
    <row r="5" spans="1:16" ht="17.25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70" t="s">
        <v>332</v>
      </c>
      <c r="M5" s="66"/>
      <c r="N5" s="130"/>
      <c r="O5" s="130"/>
      <c r="P5" s="130"/>
    </row>
    <row r="6" spans="1:16" ht="39.75" customHeight="1" thickBot="1">
      <c r="A6" s="603" t="s">
        <v>318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</row>
    <row r="7" spans="1:16" ht="17.25" customHeight="1" thickBot="1">
      <c r="A7" s="597" t="s">
        <v>113</v>
      </c>
      <c r="B7" s="598" t="s">
        <v>63</v>
      </c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</row>
    <row r="8" spans="1:16" ht="17.25" customHeight="1" thickBot="1">
      <c r="A8" s="597"/>
      <c r="B8" s="598"/>
      <c r="C8" s="600" t="s">
        <v>64</v>
      </c>
      <c r="D8" s="600"/>
      <c r="E8" s="601"/>
      <c r="F8" s="602" t="s">
        <v>114</v>
      </c>
      <c r="G8" s="602"/>
      <c r="H8" s="602"/>
      <c r="I8" s="602"/>
      <c r="J8" s="602"/>
      <c r="K8" s="602"/>
      <c r="L8" s="602"/>
      <c r="M8" s="602"/>
      <c r="N8" s="602"/>
      <c r="O8" s="602"/>
      <c r="P8" s="602"/>
    </row>
    <row r="9" spans="1:16" ht="17.25" customHeight="1" thickBot="1">
      <c r="A9" s="597"/>
      <c r="B9" s="598"/>
      <c r="C9" s="131">
        <v>2008</v>
      </c>
      <c r="D9" s="131">
        <v>2009</v>
      </c>
      <c r="E9" s="132">
        <v>2010</v>
      </c>
      <c r="F9" s="131">
        <v>2011</v>
      </c>
      <c r="G9" s="448">
        <v>2012</v>
      </c>
      <c r="H9" s="131">
        <v>2013</v>
      </c>
      <c r="I9" s="131">
        <v>2014</v>
      </c>
      <c r="J9" s="131">
        <v>2015</v>
      </c>
      <c r="K9" s="131">
        <v>2016</v>
      </c>
      <c r="L9" s="131">
        <v>2017</v>
      </c>
      <c r="M9" s="131">
        <v>2018</v>
      </c>
      <c r="N9" s="131">
        <v>2019</v>
      </c>
      <c r="O9" s="131">
        <v>2020</v>
      </c>
      <c r="P9" s="133">
        <v>2021</v>
      </c>
    </row>
    <row r="10" spans="1:16" ht="20.25" customHeight="1">
      <c r="A10" s="134">
        <v>1</v>
      </c>
      <c r="B10" s="135" t="s">
        <v>115</v>
      </c>
      <c r="C10" s="136">
        <v>24061046</v>
      </c>
      <c r="D10" s="136">
        <v>45737732</v>
      </c>
      <c r="E10" s="136">
        <f>D10+WPF!F52-WPF!F29</f>
        <v>47797647</v>
      </c>
      <c r="F10" s="441">
        <f>E10+WPF!G52-WPF!G29</f>
        <v>56846062</v>
      </c>
      <c r="G10" s="449">
        <f>F10+WPF!H52-WPF!H29</f>
        <v>56811022</v>
      </c>
      <c r="H10" s="136">
        <f>G10+WPF!I52-WPF!I29</f>
        <v>49544123</v>
      </c>
      <c r="I10" s="136">
        <f>H10+WPF!J52-WPF!J29</f>
        <v>42437670</v>
      </c>
      <c r="J10" s="136">
        <f>I10+WPF!K52-WPF!K29</f>
        <v>36287670</v>
      </c>
      <c r="K10" s="136">
        <f>J10+WPF!L52-WPF!L29</f>
        <v>30037670</v>
      </c>
      <c r="L10" s="136">
        <f>K10+WPF!M52-WPF!M29</f>
        <v>23236500</v>
      </c>
      <c r="M10" s="136">
        <f>L10+WPF!N52-WPF!N29</f>
        <v>18174472</v>
      </c>
      <c r="N10" s="136">
        <f>M10+WPF!O52-WPF!O29</f>
        <v>10823949</v>
      </c>
      <c r="O10" s="136">
        <f>N10+WPF!P52-WPF!P29</f>
        <v>4523949</v>
      </c>
      <c r="P10" s="136">
        <f>O10+WPF!Q52-WPF!Q29</f>
        <v>0</v>
      </c>
    </row>
    <row r="11" spans="1:16" ht="33.75" customHeight="1">
      <c r="A11" s="137" t="s">
        <v>67</v>
      </c>
      <c r="B11" s="54" t="s">
        <v>116</v>
      </c>
      <c r="C11" s="52">
        <v>0</v>
      </c>
      <c r="D11" s="52">
        <v>0</v>
      </c>
      <c r="E11" s="52">
        <v>0</v>
      </c>
      <c r="F11" s="442">
        <v>2100000</v>
      </c>
      <c r="G11" s="450">
        <v>2050000</v>
      </c>
      <c r="H11" s="52">
        <v>2000000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9" ht="42" customHeight="1">
      <c r="A12" s="137" t="s">
        <v>69</v>
      </c>
      <c r="B12" s="54" t="s">
        <v>232</v>
      </c>
      <c r="C12" s="52">
        <v>0</v>
      </c>
      <c r="D12" s="52">
        <v>0</v>
      </c>
      <c r="E12" s="52">
        <v>0</v>
      </c>
      <c r="F12" s="442">
        <v>0</v>
      </c>
      <c r="G12" s="450">
        <v>50000</v>
      </c>
      <c r="H12" s="52">
        <v>50000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S12" s="35"/>
    </row>
    <row r="13" spans="1:16" ht="55.5" customHeight="1">
      <c r="A13" s="137" t="s">
        <v>117</v>
      </c>
      <c r="B13" s="54" t="s">
        <v>118</v>
      </c>
      <c r="C13" s="52">
        <v>0</v>
      </c>
      <c r="D13" s="52">
        <v>0</v>
      </c>
      <c r="E13" s="52">
        <v>0</v>
      </c>
      <c r="F13" s="442">
        <v>0</v>
      </c>
      <c r="G13" s="450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ht="24" customHeight="1">
      <c r="A14" s="137" t="s">
        <v>119</v>
      </c>
      <c r="B14" s="54" t="s">
        <v>120</v>
      </c>
      <c r="C14" s="52">
        <f>WPF!D29</f>
        <v>1422000</v>
      </c>
      <c r="D14" s="52">
        <f>WPF!E29</f>
        <v>3463314</v>
      </c>
      <c r="E14" s="52">
        <f>WPF!F29</f>
        <v>6940085</v>
      </c>
      <c r="F14" s="442">
        <f>WPF!G29</f>
        <v>4551585</v>
      </c>
      <c r="G14" s="450">
        <f>WPF!H29</f>
        <v>6935040</v>
      </c>
      <c r="H14" s="52">
        <f>WPF!I29</f>
        <v>7266899</v>
      </c>
      <c r="I14" s="52">
        <f>WPF!J29</f>
        <v>7106453</v>
      </c>
      <c r="J14" s="52">
        <f>WPF!K29</f>
        <v>6150000</v>
      </c>
      <c r="K14" s="52">
        <f>WPF!L29</f>
        <v>6250000</v>
      </c>
      <c r="L14" s="52">
        <f>WPF!M29</f>
        <v>6801170</v>
      </c>
      <c r="M14" s="52">
        <f>WPF!N29</f>
        <v>5062028</v>
      </c>
      <c r="N14" s="52">
        <f>WPF!O29</f>
        <v>7350523</v>
      </c>
      <c r="O14" s="52">
        <f>WPF!P29</f>
        <v>6300000</v>
      </c>
      <c r="P14" s="52">
        <f>WPF!Q29</f>
        <v>4523949</v>
      </c>
    </row>
    <row r="15" spans="1:16" ht="24" customHeight="1">
      <c r="A15" s="138" t="s">
        <v>121</v>
      </c>
      <c r="B15" s="139" t="s">
        <v>122</v>
      </c>
      <c r="C15" s="140"/>
      <c r="D15" s="140"/>
      <c r="E15" s="141">
        <v>0.1911</v>
      </c>
      <c r="F15" s="445">
        <f>1/3*((WPF!D14+WPF!D16-'Prognoza długu'!C25)/WPF!D13+(WPF!E14+WPF!E16-'Prognoza długu'!D25)/WPF!E13+(WPF!F14+WPF!F16-'Prognoza długu'!E25)/WPF!F13)</f>
        <v>0.1291721492426357</v>
      </c>
      <c r="G15" s="451">
        <f>1/3*((WPF!E14+WPF!E16-'Prognoza długu'!D25)/WPF!E13+(WPF!F14+WPF!F16-'Prognoza długu'!E25)/WPF!F13+(WPF!G14+WPF!G16-'Prognoza długu'!F25)/WPF!G13)</f>
        <v>0.12224780731270857</v>
      </c>
      <c r="H15" s="141">
        <f>1/3*((WPF!F14+WPF!F16-'Prognoza długu'!E25)/WPF!F13+(WPF!G14+WPF!G16-'Prognoza długu'!F25)/WPF!G13+(WPF!H14+WPF!H16-'Prognoza długu'!G25)/WPF!H13)</f>
        <v>0.1897094567016238</v>
      </c>
      <c r="I15" s="141">
        <f>1/3*((WPF!G14+WPF!G16-'Prognoza długu'!F25)/WPF!G13+(WPF!H14+WPF!H16-'Prognoza długu'!G25)/WPF!H13+(WPF!I14+WPF!I16-'Prognoza długu'!H25)/WPF!I13)</f>
        <v>0.2655867225559326</v>
      </c>
      <c r="J15" s="141">
        <f>1/3*((WPF!H14+WPF!H16-'Prognoza długu'!G25)/WPF!H13+(WPF!I14+WPF!I16-'Prognoza długu'!H25)/WPF!I13+(WPF!J14+WPF!J16-'Prognoza długu'!I25)/WPF!J13)</f>
        <v>0.2862038488197982</v>
      </c>
      <c r="K15" s="141">
        <f>1/3*((WPF!I14+WPF!I16-'Prognoza długu'!H25)/WPF!I13+(WPF!J14+WPF!J16-'Prognoza długu'!I25)/WPF!J13+(WPF!K14+WPF!K16-'Prognoza długu'!J25)/WPF!K13)</f>
        <v>0.27546926315020936</v>
      </c>
      <c r="L15" s="141">
        <f>1/3*((WPF!J14+WPF!J16-'Prognoza długu'!I25)/WPF!J13+(WPF!K14+WPF!K16-'Prognoza długu'!J25)/WPF!K13+(WPF!L14+WPF!L16-'Prognoza długu'!K25)/WPF!L13)</f>
        <v>0.24044398817022028</v>
      </c>
      <c r="M15" s="141">
        <f>1/3*((WPF!K14+WPF!K16-'Prognoza długu'!J25)/WPF!K13+(WPF!L14+WPF!L16-'Prognoza długu'!K25)/WPF!L13+(WPF!M14+WPF!M16-'Prognoza długu'!L25)/WPF!M13)</f>
        <v>0.22577140787181008</v>
      </c>
      <c r="N15" s="141">
        <f>1/3*((WPF!L14+WPF!L16-'Prognoza długu'!K25)/WPF!L13+(WPF!M14+WPF!M16-'Prognoza długu'!L25)/WPF!M13+(WPF!N14+WPF!N16-'Prognoza długu'!M25)/WPF!N13)</f>
        <v>0.2048225586267341</v>
      </c>
      <c r="O15" s="141">
        <f>1/3*((WPF!M14+WPF!M16-'Prognoza długu'!L25)/WPF!M13+(WPF!N14+WPF!N16-'Prognoza długu'!M25)/WPF!N13+(WPF!O14+WPF!O16-'Prognoza długu'!N25)/WPF!O13)</f>
        <v>0.2171490773932484</v>
      </c>
      <c r="P15" s="141">
        <f>1/3*((WPF!N14+WPF!N16-'Prognoza długu'!M25)/WPF!N13+(WPF!O14+WPF!O16-'Prognoza długu'!N25)/WPF!O13+(WPF!P14+WPF!P16-'Prognoza długu'!O25)/WPF!P13)</f>
        <v>0.22294167223691674</v>
      </c>
    </row>
    <row r="16" spans="1:16" ht="30.75" customHeight="1">
      <c r="A16" s="138" t="s">
        <v>123</v>
      </c>
      <c r="B16" s="139" t="s">
        <v>124</v>
      </c>
      <c r="C16" s="140" t="s">
        <v>82</v>
      </c>
      <c r="D16" s="140" t="s">
        <v>82</v>
      </c>
      <c r="E16" s="141">
        <f>(WPF!F33+WPF!F29)/WPF!F13</f>
        <v>0.10653694792951553</v>
      </c>
      <c r="F16" s="445">
        <f>(WPF!G33+WPF!G29)/WPF!G13</f>
        <v>0.06023511077561799</v>
      </c>
      <c r="G16" s="451">
        <f>(WPF!H33+WPF!H29)/WPF!H13</f>
        <v>0.05182330218070494</v>
      </c>
      <c r="H16" s="141">
        <f>(WPF!I33+WPF!I29)/WPF!I13</f>
        <v>0.06251945113793282</v>
      </c>
      <c r="I16" s="141">
        <f>(WPF!J33+WPF!J29)/WPF!J13</f>
        <v>0.08631535865534297</v>
      </c>
      <c r="J16" s="141">
        <f>(WPF!K33+WPF!K29)/WPF!K13</f>
        <v>0.06695493382339247</v>
      </c>
      <c r="K16" s="141">
        <f>(WPF!L33+WPF!L29)/WPF!L13</f>
        <v>0.06762204378541244</v>
      </c>
      <c r="L16" s="141">
        <f>(WPF!M33+WPF!M29)/WPF!M13</f>
        <v>0.06750839351544803</v>
      </c>
      <c r="M16" s="141">
        <f>(WPF!N33+WPF!N29)/WPF!N13</f>
        <v>0.04909188090104212</v>
      </c>
      <c r="N16" s="141">
        <f>(WPF!O33+WPF!O29)/WPF!O13</f>
        <v>0.060479011713379424</v>
      </c>
      <c r="O16" s="141">
        <f>(WPF!P33+WPF!P29)/WPF!P13</f>
        <v>0.04811166930487907</v>
      </c>
      <c r="P16" s="141">
        <f>(WPF!Q33+WPF!Q29)/WPF!Q13</f>
        <v>0.03217987218700601</v>
      </c>
    </row>
    <row r="17" spans="1:16" ht="35.25" customHeight="1">
      <c r="A17" s="138" t="s">
        <v>125</v>
      </c>
      <c r="B17" s="142" t="s">
        <v>126</v>
      </c>
      <c r="C17" s="140"/>
      <c r="D17" s="140"/>
      <c r="E17" s="141">
        <f>E15-E16</f>
        <v>0.08456305207048447</v>
      </c>
      <c r="F17" s="445">
        <f aca="true" t="shared" si="0" ref="F17:O17">F15-F16</f>
        <v>0.06893703846701771</v>
      </c>
      <c r="G17" s="451">
        <f t="shared" si="0"/>
        <v>0.07042450513200363</v>
      </c>
      <c r="H17" s="141">
        <f t="shared" si="0"/>
        <v>0.12719000556369098</v>
      </c>
      <c r="I17" s="141">
        <f t="shared" si="0"/>
        <v>0.17927136390058962</v>
      </c>
      <c r="J17" s="141">
        <f t="shared" si="0"/>
        <v>0.21924891499640575</v>
      </c>
      <c r="K17" s="141">
        <f t="shared" si="0"/>
        <v>0.20784721936479694</v>
      </c>
      <c r="L17" s="141">
        <f t="shared" si="0"/>
        <v>0.17293559465477226</v>
      </c>
      <c r="M17" s="141">
        <f t="shared" si="0"/>
        <v>0.17667952697076794</v>
      </c>
      <c r="N17" s="141">
        <f t="shared" si="0"/>
        <v>0.14434354691335466</v>
      </c>
      <c r="O17" s="141">
        <f t="shared" si="0"/>
        <v>0.16903740808836934</v>
      </c>
      <c r="P17" s="141">
        <f>P15-P16</f>
        <v>0.19076180004991072</v>
      </c>
    </row>
    <row r="18" spans="1:16" ht="30" customHeight="1">
      <c r="A18" s="137" t="s">
        <v>127</v>
      </c>
      <c r="B18" s="54" t="s">
        <v>128</v>
      </c>
      <c r="C18" s="143">
        <f>WPF!D28/WPF!D13%</f>
        <v>2.3282594878968568</v>
      </c>
      <c r="D18" s="143">
        <f>WPF!E28/WPF!E13%</f>
        <v>5.510659630018438</v>
      </c>
      <c r="E18" s="143">
        <f>WPF!F28/WPF!F13%</f>
        <v>10.653694792951551</v>
      </c>
      <c r="F18" s="443">
        <f>WPF!G28/WPF!G13%</f>
        <v>6.0235110775618</v>
      </c>
      <c r="G18" s="452">
        <f>WPF!H28/WPF!H13%</f>
        <v>5.182330218070494</v>
      </c>
      <c r="H18" s="143">
        <f>WPF!I28/WPF!I13%</f>
        <v>6.251945113793282</v>
      </c>
      <c r="I18" s="143"/>
      <c r="J18" s="143"/>
      <c r="K18" s="143"/>
      <c r="L18" s="143"/>
      <c r="M18" s="143"/>
      <c r="N18" s="143"/>
      <c r="O18" s="143"/>
      <c r="P18" s="143"/>
    </row>
    <row r="19" spans="1:16" ht="29.25" customHeight="1">
      <c r="A19" s="137" t="s">
        <v>129</v>
      </c>
      <c r="B19" s="54" t="s">
        <v>130</v>
      </c>
      <c r="C19" s="143">
        <f>C10/WPF!D13%</f>
        <v>29.73558673968137</v>
      </c>
      <c r="D19" s="143">
        <f>D10/WPF!E13%</f>
        <v>55.982746471274986</v>
      </c>
      <c r="E19" s="143">
        <f>E10/WPF!F13%</f>
        <v>56.16915056018265</v>
      </c>
      <c r="F19" s="443">
        <f>F10/WPF!G13%</f>
        <v>49.7435679254916</v>
      </c>
      <c r="G19" s="452">
        <f>G10/WPF!H13%</f>
        <v>31.887328944340275</v>
      </c>
      <c r="H19" s="143">
        <f>H10/WPF!I13%</f>
        <v>29.67824060465635</v>
      </c>
      <c r="I19" s="143"/>
      <c r="J19" s="143"/>
      <c r="K19" s="143"/>
      <c r="L19" s="143"/>
      <c r="M19" s="143"/>
      <c r="N19" s="143"/>
      <c r="O19" s="143"/>
      <c r="P19" s="143"/>
    </row>
    <row r="20" spans="1:16" ht="17.25" customHeight="1">
      <c r="A20" s="75" t="s">
        <v>131</v>
      </c>
      <c r="B20" s="144" t="s">
        <v>132</v>
      </c>
      <c r="C20" s="55">
        <f aca="true" t="shared" si="1" ref="C20:O20">C21+C22</f>
        <v>80916668</v>
      </c>
      <c r="D20" s="55">
        <f t="shared" si="1"/>
        <v>81699693</v>
      </c>
      <c r="E20" s="55">
        <f t="shared" si="1"/>
        <v>85095905</v>
      </c>
      <c r="F20" s="444">
        <f t="shared" si="1"/>
        <v>114278216</v>
      </c>
      <c r="G20" s="453">
        <f t="shared" si="1"/>
        <v>178161746</v>
      </c>
      <c r="H20" s="55">
        <f t="shared" si="1"/>
        <v>166937534</v>
      </c>
      <c r="I20" s="55">
        <f t="shared" si="1"/>
        <v>114230586</v>
      </c>
      <c r="J20" s="55">
        <f t="shared" si="1"/>
        <v>128758338</v>
      </c>
      <c r="K20" s="145">
        <f t="shared" si="1"/>
        <v>124848430</v>
      </c>
      <c r="L20" s="55">
        <f t="shared" si="1"/>
        <v>129078216</v>
      </c>
      <c r="M20" s="55">
        <f t="shared" si="1"/>
        <v>134530581</v>
      </c>
      <c r="N20" s="55">
        <f t="shared" si="1"/>
        <v>139658756</v>
      </c>
      <c r="O20" s="55">
        <f t="shared" si="1"/>
        <v>143547325</v>
      </c>
      <c r="P20" s="55">
        <f>P21+P22</f>
        <v>146658641</v>
      </c>
    </row>
    <row r="21" spans="1:16" ht="16.5" customHeight="1">
      <c r="A21" s="137" t="s">
        <v>67</v>
      </c>
      <c r="B21" s="54" t="s">
        <v>133</v>
      </c>
      <c r="C21" s="52">
        <f>WPF!D14</f>
        <v>80901768</v>
      </c>
      <c r="D21" s="52">
        <f>WPF!E14</f>
        <v>80665439</v>
      </c>
      <c r="E21" s="52">
        <f>WPF!F14</f>
        <v>84339995</v>
      </c>
      <c r="F21" s="442">
        <f>WPF!G14</f>
        <v>98522397</v>
      </c>
      <c r="G21" s="450">
        <f>WPF!H14</f>
        <v>103679332</v>
      </c>
      <c r="H21" s="52">
        <f>WPF!I14</f>
        <v>109675033</v>
      </c>
      <c r="I21" s="52">
        <f>WPF!J14</f>
        <v>114230586</v>
      </c>
      <c r="J21" s="52">
        <f>WPF!K14</f>
        <v>119758338</v>
      </c>
      <c r="K21" s="146">
        <f>WPF!L14</f>
        <v>124848430</v>
      </c>
      <c r="L21" s="52">
        <f>WPF!M14</f>
        <v>129078216</v>
      </c>
      <c r="M21" s="52">
        <f>WPF!N14</f>
        <v>134530581</v>
      </c>
      <c r="N21" s="52">
        <f>WPF!O14</f>
        <v>139658756</v>
      </c>
      <c r="O21" s="52">
        <f>WPF!P14</f>
        <v>143547325</v>
      </c>
      <c r="P21" s="52">
        <f>WPF!Q14</f>
        <v>146658641</v>
      </c>
    </row>
    <row r="22" spans="1:16" ht="16.5" customHeight="1">
      <c r="A22" s="137" t="s">
        <v>69</v>
      </c>
      <c r="B22" s="54" t="s">
        <v>70</v>
      </c>
      <c r="C22" s="52">
        <f>WPF!D15</f>
        <v>14900</v>
      </c>
      <c r="D22" s="52">
        <f>WPF!E15</f>
        <v>1034254</v>
      </c>
      <c r="E22" s="52">
        <f>WPF!F15</f>
        <v>755910</v>
      </c>
      <c r="F22" s="442">
        <f>WPF!G15</f>
        <v>15755819</v>
      </c>
      <c r="G22" s="450">
        <f>WPF!H15</f>
        <v>74482414</v>
      </c>
      <c r="H22" s="52">
        <f>WPF!I15</f>
        <v>57262501</v>
      </c>
      <c r="I22" s="52">
        <f>WPF!J15</f>
        <v>0</v>
      </c>
      <c r="J22" s="52">
        <f>WPF!K15</f>
        <v>9000000</v>
      </c>
      <c r="K22" s="52">
        <f>WPF!L15</f>
        <v>0</v>
      </c>
      <c r="L22" s="52">
        <f>WPF!M15</f>
        <v>0</v>
      </c>
      <c r="M22" s="52">
        <f>WPF!N15</f>
        <v>0</v>
      </c>
      <c r="N22" s="52">
        <f>WPF!O15</f>
        <v>0</v>
      </c>
      <c r="O22" s="52">
        <f>WPF!P15</f>
        <v>0</v>
      </c>
      <c r="P22" s="52">
        <f>WPF!Q15</f>
        <v>0</v>
      </c>
    </row>
    <row r="23" spans="1:16" ht="16.5" customHeight="1">
      <c r="A23" s="137" t="s">
        <v>71</v>
      </c>
      <c r="B23" s="54" t="s">
        <v>73</v>
      </c>
      <c r="C23" s="52">
        <f>WPF!D16</f>
        <v>0</v>
      </c>
      <c r="D23" s="52">
        <f>WPF!E16</f>
        <v>197354</v>
      </c>
      <c r="E23" s="52">
        <f>WPF!F16</f>
        <v>255910</v>
      </c>
      <c r="F23" s="442">
        <f>WPF!G16</f>
        <v>13500000</v>
      </c>
      <c r="G23" s="450">
        <f>WPF!H16</f>
        <v>52000000</v>
      </c>
      <c r="H23" s="52">
        <f>WPF!I16</f>
        <v>26150000</v>
      </c>
      <c r="I23" s="52">
        <f>WPF!J16</f>
        <v>0</v>
      </c>
      <c r="J23" s="52">
        <f>WPF!K16</f>
        <v>0</v>
      </c>
      <c r="K23" s="52">
        <f>WPF!L16</f>
        <v>0</v>
      </c>
      <c r="L23" s="52">
        <f>WPF!M16</f>
        <v>0</v>
      </c>
      <c r="M23" s="52">
        <f>WPF!N16</f>
        <v>0</v>
      </c>
      <c r="N23" s="52">
        <f>WPF!O16</f>
        <v>0</v>
      </c>
      <c r="O23" s="52">
        <f>WPF!P16</f>
        <v>0</v>
      </c>
      <c r="P23" s="52">
        <f>WPF!Q16</f>
        <v>0</v>
      </c>
    </row>
    <row r="24" spans="1:16" ht="16.5" customHeight="1">
      <c r="A24" s="75" t="s">
        <v>134</v>
      </c>
      <c r="B24" s="144" t="s">
        <v>135</v>
      </c>
      <c r="C24" s="55">
        <f aca="true" t="shared" si="2" ref="C24:H24">C25+C26</f>
        <v>107175456.57</v>
      </c>
      <c r="D24" s="55">
        <f t="shared" si="2"/>
        <v>105850665</v>
      </c>
      <c r="E24" s="55">
        <f t="shared" si="2"/>
        <v>87934218</v>
      </c>
      <c r="F24" s="444">
        <f>F25+F26</f>
        <v>123753708</v>
      </c>
      <c r="G24" s="453">
        <f t="shared" si="2"/>
        <v>178161746</v>
      </c>
      <c r="H24" s="55">
        <f t="shared" si="2"/>
        <v>159670635</v>
      </c>
      <c r="I24" s="55">
        <f aca="true" t="shared" si="3" ref="I24:P24">I25+I26</f>
        <v>107124133</v>
      </c>
      <c r="J24" s="55">
        <f t="shared" si="3"/>
        <v>122608338</v>
      </c>
      <c r="K24" s="55">
        <f t="shared" si="3"/>
        <v>118598430</v>
      </c>
      <c r="L24" s="55">
        <f t="shared" si="3"/>
        <v>122277046</v>
      </c>
      <c r="M24" s="55">
        <f t="shared" si="3"/>
        <v>129468553.26</v>
      </c>
      <c r="N24" s="55">
        <f t="shared" si="3"/>
        <v>132308232.54</v>
      </c>
      <c r="O24" s="55">
        <f t="shared" si="3"/>
        <v>137247325.43</v>
      </c>
      <c r="P24" s="55">
        <f t="shared" si="3"/>
        <v>142134692.3225</v>
      </c>
    </row>
    <row r="25" spans="1:16" ht="17.25" customHeight="1">
      <c r="A25" s="137" t="s">
        <v>67</v>
      </c>
      <c r="B25" s="54" t="s">
        <v>136</v>
      </c>
      <c r="C25" s="52">
        <f>WPF!D17+WPF!D33</f>
        <v>63862781</v>
      </c>
      <c r="D25" s="52">
        <f>WPF!E17+WPF!E33</f>
        <v>72590083</v>
      </c>
      <c r="E25" s="52">
        <f>WPF!F17+WPF!F33</f>
        <v>78155472</v>
      </c>
      <c r="F25" s="442">
        <f>WPF!G17+WPF!G33</f>
        <v>90332223</v>
      </c>
      <c r="G25" s="450">
        <f>WPF!H17+WPF!H33</f>
        <v>101581856</v>
      </c>
      <c r="H25" s="52">
        <f>WPF!I17+WPF!I33</f>
        <v>85190174</v>
      </c>
      <c r="I25" s="52">
        <f>WPF!J17+WPF!J33</f>
        <v>85484133</v>
      </c>
      <c r="J25" s="52">
        <f>WPF!K17+WPF!K33</f>
        <v>84808338</v>
      </c>
      <c r="K25" s="52">
        <f>WPF!L17+WPF!L33</f>
        <v>100098430</v>
      </c>
      <c r="L25" s="52">
        <f>WPF!M17+WPF!M33</f>
        <v>102277046</v>
      </c>
      <c r="M25" s="52">
        <f>WPF!N17+WPF!N33</f>
        <v>106468553.26</v>
      </c>
      <c r="N25" s="52">
        <f>WPF!O17+WPF!O33</f>
        <v>106808232.54</v>
      </c>
      <c r="O25" s="52">
        <f>WPF!P17+WPF!P33</f>
        <v>111247325.43</v>
      </c>
      <c r="P25" s="52">
        <f>WPF!Q17+WPF!Q33</f>
        <v>114134692.3225</v>
      </c>
    </row>
    <row r="26" spans="1:16" ht="17.25" customHeight="1">
      <c r="A26" s="137" t="s">
        <v>69</v>
      </c>
      <c r="B26" s="54" t="s">
        <v>137</v>
      </c>
      <c r="C26" s="52">
        <f>WPF!D36</f>
        <v>43312675.57</v>
      </c>
      <c r="D26" s="52">
        <f>WPF!E36</f>
        <v>33260582</v>
      </c>
      <c r="E26" s="52">
        <f>WPF!F36</f>
        <v>9778746</v>
      </c>
      <c r="F26" s="442">
        <f>WPF!G36</f>
        <v>33421485</v>
      </c>
      <c r="G26" s="450">
        <f>WPF!H36</f>
        <v>76579890</v>
      </c>
      <c r="H26" s="52">
        <f>WPF!I36</f>
        <v>74480461</v>
      </c>
      <c r="I26" s="52">
        <f>WPF!J36</f>
        <v>21640000</v>
      </c>
      <c r="J26" s="52">
        <f>WPF!K36</f>
        <v>37800000</v>
      </c>
      <c r="K26" s="52">
        <f>WPF!L36</f>
        <v>18500000</v>
      </c>
      <c r="L26" s="52">
        <f>WPF!M36</f>
        <v>20000000</v>
      </c>
      <c r="M26" s="52">
        <f>WPF!N36</f>
        <v>23000000</v>
      </c>
      <c r="N26" s="52">
        <f>WPF!O36</f>
        <v>25500000</v>
      </c>
      <c r="O26" s="52">
        <f>WPF!P36</f>
        <v>26000000</v>
      </c>
      <c r="P26" s="52">
        <f>WPF!Q36</f>
        <v>28000000</v>
      </c>
    </row>
    <row r="27" spans="1:16" ht="31.5" customHeight="1">
      <c r="A27" s="75" t="s">
        <v>138</v>
      </c>
      <c r="B27" s="144" t="s">
        <v>139</v>
      </c>
      <c r="C27" s="55">
        <f aca="true" t="shared" si="4" ref="C27:H27">C20-C24</f>
        <v>-26258788.569999993</v>
      </c>
      <c r="D27" s="55">
        <f t="shared" si="4"/>
        <v>-24150972</v>
      </c>
      <c r="E27" s="55">
        <f t="shared" si="4"/>
        <v>-2838313</v>
      </c>
      <c r="F27" s="444">
        <f t="shared" si="4"/>
        <v>-9475492</v>
      </c>
      <c r="G27" s="453">
        <f t="shared" si="4"/>
        <v>0</v>
      </c>
      <c r="H27" s="55">
        <f t="shared" si="4"/>
        <v>7266899</v>
      </c>
      <c r="I27" s="55">
        <f aca="true" t="shared" si="5" ref="I27:P27">I20-I24</f>
        <v>7106453</v>
      </c>
      <c r="J27" s="55">
        <f t="shared" si="5"/>
        <v>6150000</v>
      </c>
      <c r="K27" s="55">
        <f t="shared" si="5"/>
        <v>6250000</v>
      </c>
      <c r="L27" s="55">
        <f t="shared" si="5"/>
        <v>6801170</v>
      </c>
      <c r="M27" s="55">
        <f t="shared" si="5"/>
        <v>5062027.739999995</v>
      </c>
      <c r="N27" s="55">
        <f t="shared" si="5"/>
        <v>7350523.459999993</v>
      </c>
      <c r="O27" s="55">
        <f t="shared" si="5"/>
        <v>6299999.569999993</v>
      </c>
      <c r="P27" s="55">
        <f t="shared" si="5"/>
        <v>4523948.67750001</v>
      </c>
    </row>
    <row r="28" spans="1:16" ht="15.75" customHeight="1">
      <c r="A28" s="75" t="s">
        <v>140</v>
      </c>
      <c r="B28" s="144" t="s">
        <v>212</v>
      </c>
      <c r="C28" s="55">
        <f>SUM(C29:C33)</f>
        <v>26258789</v>
      </c>
      <c r="D28" s="55">
        <f>SUM(D29:D33)</f>
        <v>24150972</v>
      </c>
      <c r="E28" s="55">
        <f>SUM(E29:E33)</f>
        <v>2838313</v>
      </c>
      <c r="F28" s="444">
        <f>SUM(F29:F33)</f>
        <v>9475492</v>
      </c>
      <c r="G28" s="453"/>
      <c r="H28" s="55"/>
      <c r="I28" s="55"/>
      <c r="J28" s="55"/>
      <c r="K28" s="55"/>
      <c r="L28" s="55"/>
      <c r="M28" s="55"/>
      <c r="N28" s="55"/>
      <c r="O28" s="55"/>
      <c r="P28" s="55"/>
    </row>
    <row r="29" spans="1:16" ht="15.75" customHeight="1">
      <c r="A29" s="76" t="s">
        <v>67</v>
      </c>
      <c r="B29" s="57" t="s">
        <v>90</v>
      </c>
      <c r="C29" s="52">
        <v>7546170</v>
      </c>
      <c r="D29" s="52">
        <v>6330000</v>
      </c>
      <c r="E29" s="52"/>
      <c r="F29" s="442">
        <v>2100000</v>
      </c>
      <c r="G29" s="453"/>
      <c r="H29" s="55"/>
      <c r="I29" s="55"/>
      <c r="J29" s="55"/>
      <c r="K29" s="55"/>
      <c r="L29" s="55"/>
      <c r="M29" s="55"/>
      <c r="N29" s="55"/>
      <c r="O29" s="55"/>
      <c r="P29" s="55"/>
    </row>
    <row r="30" spans="1:16" ht="15.75" customHeight="1">
      <c r="A30" s="76" t="s">
        <v>69</v>
      </c>
      <c r="B30" s="57" t="s">
        <v>91</v>
      </c>
      <c r="C30" s="52">
        <v>4000000</v>
      </c>
      <c r="D30" s="52">
        <v>4810000</v>
      </c>
      <c r="E30" s="52"/>
      <c r="F30" s="442"/>
      <c r="G30" s="453"/>
      <c r="H30" s="55"/>
      <c r="I30" s="55"/>
      <c r="J30" s="55"/>
      <c r="K30" s="55"/>
      <c r="L30" s="55"/>
      <c r="M30" s="55"/>
      <c r="N30" s="55"/>
      <c r="O30" s="55"/>
      <c r="P30" s="55"/>
    </row>
    <row r="31" spans="1:16" ht="15.75" customHeight="1">
      <c r="A31" s="76" t="s">
        <v>77</v>
      </c>
      <c r="B31" s="57" t="s">
        <v>210</v>
      </c>
      <c r="C31" s="52">
        <v>2699265</v>
      </c>
      <c r="D31" s="52"/>
      <c r="E31" s="52"/>
      <c r="F31" s="442"/>
      <c r="G31" s="453"/>
      <c r="H31" s="55"/>
      <c r="I31" s="55"/>
      <c r="J31" s="55"/>
      <c r="K31" s="55"/>
      <c r="L31" s="55"/>
      <c r="M31" s="55"/>
      <c r="N31" s="55"/>
      <c r="O31" s="55"/>
      <c r="P31" s="55"/>
    </row>
    <row r="32" spans="1:16" ht="57" customHeight="1">
      <c r="A32" s="76" t="s">
        <v>80</v>
      </c>
      <c r="B32" s="73" t="s">
        <v>99</v>
      </c>
      <c r="C32" s="52">
        <v>12013354</v>
      </c>
      <c r="D32" s="52"/>
      <c r="E32" s="52"/>
      <c r="F32" s="442">
        <v>375492</v>
      </c>
      <c r="G32" s="453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5.75" customHeight="1">
      <c r="A33" s="76" t="s">
        <v>141</v>
      </c>
      <c r="B33" s="57" t="s">
        <v>98</v>
      </c>
      <c r="C33" s="52"/>
      <c r="D33" s="52">
        <v>13010972</v>
      </c>
      <c r="E33" s="52">
        <v>2838313</v>
      </c>
      <c r="F33" s="442">
        <v>7000000</v>
      </c>
      <c r="G33" s="453"/>
      <c r="H33" s="55"/>
      <c r="I33" s="55"/>
      <c r="J33" s="55"/>
      <c r="K33" s="55"/>
      <c r="L33" s="55"/>
      <c r="M33" s="55"/>
      <c r="N33" s="55"/>
      <c r="O33" s="55"/>
      <c r="P33" s="55"/>
    </row>
    <row r="34" spans="1:16" ht="15.75" customHeight="1">
      <c r="A34" s="225"/>
      <c r="B34" s="226"/>
      <c r="C34" s="227"/>
      <c r="D34" s="227"/>
      <c r="E34" s="227"/>
      <c r="F34" s="227"/>
      <c r="G34" s="228"/>
      <c r="H34" s="228"/>
      <c r="I34" s="228"/>
      <c r="J34" s="228"/>
      <c r="K34" s="228"/>
      <c r="L34" s="228"/>
      <c r="M34" s="228"/>
      <c r="N34" s="228"/>
      <c r="O34" s="228"/>
      <c r="P34" s="228"/>
    </row>
    <row r="35" spans="1:16" ht="30" customHeight="1">
      <c r="A35" s="229"/>
      <c r="B35" s="230"/>
      <c r="C35" s="231"/>
      <c r="D35" s="231"/>
      <c r="E35" s="231"/>
      <c r="F35" s="231"/>
      <c r="G35" s="232"/>
      <c r="H35" s="232"/>
      <c r="I35" s="232"/>
      <c r="J35" s="232"/>
      <c r="K35" s="232"/>
      <c r="L35" s="232"/>
      <c r="M35" s="232"/>
      <c r="N35" s="232"/>
      <c r="O35" s="232"/>
      <c r="P35" s="232"/>
    </row>
    <row r="36" spans="1:16" ht="30.75" customHeight="1">
      <c r="A36" s="229"/>
      <c r="B36" s="230"/>
      <c r="C36" s="231"/>
      <c r="D36" s="231"/>
      <c r="E36" s="231"/>
      <c r="F36" s="231"/>
      <c r="G36" s="232"/>
      <c r="H36" s="232"/>
      <c r="I36" s="232"/>
      <c r="J36" s="232"/>
      <c r="K36" s="232"/>
      <c r="L36" s="232"/>
      <c r="M36" s="232"/>
      <c r="N36" s="232"/>
      <c r="O36" s="232"/>
      <c r="P36" s="232"/>
    </row>
    <row r="37" spans="1:16" ht="15.75" customHeight="1">
      <c r="A37" s="229"/>
      <c r="B37" s="230"/>
      <c r="C37" s="231"/>
      <c r="D37" s="231"/>
      <c r="E37" s="231"/>
      <c r="F37" s="231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  <row r="38" spans="1:16" ht="15.75" customHeight="1" thickBot="1">
      <c r="A38" s="229"/>
      <c r="B38" s="230"/>
      <c r="C38" s="231"/>
      <c r="D38" s="231"/>
      <c r="E38" s="231"/>
      <c r="F38" s="231"/>
      <c r="G38" s="232"/>
      <c r="H38" s="232"/>
      <c r="I38" s="232"/>
      <c r="J38" s="232"/>
      <c r="K38" s="232"/>
      <c r="L38" s="232"/>
      <c r="M38" s="232"/>
      <c r="N38" s="232"/>
      <c r="O38" s="232"/>
      <c r="P38" s="232"/>
    </row>
    <row r="39" spans="1:16" ht="15.75" customHeight="1" thickBot="1">
      <c r="A39" s="597" t="s">
        <v>113</v>
      </c>
      <c r="B39" s="598" t="s">
        <v>63</v>
      </c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</row>
    <row r="40" spans="1:16" ht="15.75" customHeight="1" thickBot="1">
      <c r="A40" s="597"/>
      <c r="B40" s="598"/>
      <c r="C40" s="600" t="s">
        <v>64</v>
      </c>
      <c r="D40" s="600"/>
      <c r="E40" s="601"/>
      <c r="F40" s="602" t="s">
        <v>114</v>
      </c>
      <c r="G40" s="602"/>
      <c r="H40" s="602"/>
      <c r="I40" s="602"/>
      <c r="J40" s="602"/>
      <c r="K40" s="602"/>
      <c r="L40" s="602"/>
      <c r="M40" s="602"/>
      <c r="N40" s="602"/>
      <c r="O40" s="602"/>
      <c r="P40" s="602"/>
    </row>
    <row r="41" spans="1:16" ht="15.75" customHeight="1" thickBot="1">
      <c r="A41" s="597"/>
      <c r="B41" s="598"/>
      <c r="C41" s="131">
        <v>2008</v>
      </c>
      <c r="D41" s="131">
        <v>2009</v>
      </c>
      <c r="E41" s="132">
        <v>2010</v>
      </c>
      <c r="F41" s="446">
        <v>2011</v>
      </c>
      <c r="G41" s="448">
        <v>2012</v>
      </c>
      <c r="H41" s="131">
        <v>2013</v>
      </c>
      <c r="I41" s="131">
        <v>2014</v>
      </c>
      <c r="J41" s="131">
        <v>2015</v>
      </c>
      <c r="K41" s="131">
        <v>2016</v>
      </c>
      <c r="L41" s="131">
        <v>2017</v>
      </c>
      <c r="M41" s="131">
        <v>2018</v>
      </c>
      <c r="N41" s="131">
        <v>2019</v>
      </c>
      <c r="O41" s="131">
        <v>2020</v>
      </c>
      <c r="P41" s="133">
        <v>2021</v>
      </c>
    </row>
    <row r="42" spans="1:16" ht="14.25" customHeight="1">
      <c r="A42" s="75" t="s">
        <v>142</v>
      </c>
      <c r="B42" s="144" t="s">
        <v>213</v>
      </c>
      <c r="C42" s="55"/>
      <c r="D42" s="55"/>
      <c r="E42" s="55"/>
      <c r="F42" s="444"/>
      <c r="G42" s="453"/>
      <c r="H42" s="55">
        <f aca="true" t="shared" si="6" ref="H42:O42">SUM(H43:H45)</f>
        <v>7266899</v>
      </c>
      <c r="I42" s="55">
        <f t="shared" si="6"/>
        <v>7106453</v>
      </c>
      <c r="J42" s="55">
        <f t="shared" si="6"/>
        <v>6150000</v>
      </c>
      <c r="K42" s="55">
        <f t="shared" si="6"/>
        <v>6250000</v>
      </c>
      <c r="L42" s="55">
        <f t="shared" si="6"/>
        <v>6801170</v>
      </c>
      <c r="M42" s="55">
        <f t="shared" si="6"/>
        <v>5062028</v>
      </c>
      <c r="N42" s="55">
        <f t="shared" si="6"/>
        <v>7350523</v>
      </c>
      <c r="O42" s="55">
        <f t="shared" si="6"/>
        <v>6300000</v>
      </c>
      <c r="P42" s="55">
        <f>SUM(P43:P45)</f>
        <v>4523949</v>
      </c>
    </row>
    <row r="43" spans="1:16" ht="14.25" customHeight="1">
      <c r="A43" s="77" t="s">
        <v>67</v>
      </c>
      <c r="B43" s="57" t="s">
        <v>209</v>
      </c>
      <c r="C43" s="53"/>
      <c r="D43" s="53"/>
      <c r="E43" s="78"/>
      <c r="F43" s="442"/>
      <c r="G43" s="450"/>
      <c r="H43" s="53">
        <f aca="true" t="shared" si="7" ref="H43:O43">H53</f>
        <v>3666899</v>
      </c>
      <c r="I43" s="53">
        <f t="shared" si="7"/>
        <v>3506453</v>
      </c>
      <c r="J43" s="53">
        <f t="shared" si="7"/>
        <v>2550000</v>
      </c>
      <c r="K43" s="53">
        <f>K53</f>
        <v>2550000</v>
      </c>
      <c r="L43" s="53">
        <f t="shared" si="7"/>
        <v>2401170</v>
      </c>
      <c r="M43" s="53">
        <f t="shared" si="7"/>
        <v>62028</v>
      </c>
      <c r="N43" s="53">
        <f t="shared" si="7"/>
        <v>750523</v>
      </c>
      <c r="O43" s="53">
        <f t="shared" si="7"/>
        <v>600000</v>
      </c>
      <c r="P43" s="53">
        <f>P53</f>
        <v>423949</v>
      </c>
    </row>
    <row r="44" spans="1:16" ht="14.25" customHeight="1">
      <c r="A44" s="77" t="s">
        <v>69</v>
      </c>
      <c r="B44" s="57" t="s">
        <v>214</v>
      </c>
      <c r="C44" s="53"/>
      <c r="D44" s="53"/>
      <c r="E44" s="78"/>
      <c r="F44" s="442"/>
      <c r="G44" s="450"/>
      <c r="H44" s="53">
        <f aca="true" t="shared" si="8" ref="H44:O44">H54</f>
        <v>600000</v>
      </c>
      <c r="I44" s="53">
        <f t="shared" si="8"/>
        <v>600000</v>
      </c>
      <c r="J44" s="53">
        <f t="shared" si="8"/>
        <v>600000</v>
      </c>
      <c r="K44" s="53">
        <f t="shared" si="8"/>
        <v>700000</v>
      </c>
      <c r="L44" s="53">
        <f t="shared" si="8"/>
        <v>1400000</v>
      </c>
      <c r="M44" s="53">
        <f t="shared" si="8"/>
        <v>0</v>
      </c>
      <c r="N44" s="53">
        <f t="shared" si="8"/>
        <v>0</v>
      </c>
      <c r="O44" s="53">
        <f t="shared" si="8"/>
        <v>0</v>
      </c>
      <c r="P44" s="53">
        <f>P54</f>
        <v>0</v>
      </c>
    </row>
    <row r="45" spans="1:16" ht="15" customHeight="1">
      <c r="A45" s="77" t="s">
        <v>77</v>
      </c>
      <c r="B45" s="57" t="s">
        <v>92</v>
      </c>
      <c r="C45" s="53"/>
      <c r="D45" s="53"/>
      <c r="E45" s="78"/>
      <c r="F45" s="442"/>
      <c r="G45" s="450"/>
      <c r="H45" s="53">
        <f aca="true" t="shared" si="9" ref="H45:O45">H55</f>
        <v>3000000</v>
      </c>
      <c r="I45" s="53">
        <f t="shared" si="9"/>
        <v>3000000</v>
      </c>
      <c r="J45" s="53">
        <f t="shared" si="9"/>
        <v>3000000</v>
      </c>
      <c r="K45" s="53">
        <f t="shared" si="9"/>
        <v>3000000</v>
      </c>
      <c r="L45" s="53">
        <f t="shared" si="9"/>
        <v>3000000</v>
      </c>
      <c r="M45" s="53">
        <f t="shared" si="9"/>
        <v>5000000</v>
      </c>
      <c r="N45" s="53">
        <f t="shared" si="9"/>
        <v>6600000</v>
      </c>
      <c r="O45" s="53">
        <f t="shared" si="9"/>
        <v>5700000</v>
      </c>
      <c r="P45" s="53">
        <f>P55</f>
        <v>4100000</v>
      </c>
    </row>
    <row r="46" spans="1:16" ht="15.75" customHeight="1">
      <c r="A46" s="75" t="s">
        <v>143</v>
      </c>
      <c r="B46" s="144" t="s">
        <v>110</v>
      </c>
      <c r="C46" s="55">
        <f>WPF!D24+WPF!D52</f>
        <v>31400550</v>
      </c>
      <c r="D46" s="55">
        <f>WPF!E24+WPF!E52</f>
        <v>28859761</v>
      </c>
      <c r="E46" s="55">
        <f>WPF!F24+WPF!F52</f>
        <v>10245475</v>
      </c>
      <c r="F46" s="444">
        <f>WPF!G24+WPF!G52</f>
        <v>14027077</v>
      </c>
      <c r="G46" s="453">
        <f>WPF!H24+WPF!H52</f>
        <v>6935040</v>
      </c>
      <c r="H46" s="55">
        <f>WPF!I24+WPF!I52</f>
        <v>0</v>
      </c>
      <c r="I46" s="55">
        <f>WPF!J24+WPF!J52</f>
        <v>0</v>
      </c>
      <c r="J46" s="55">
        <f>WPF!K24+WPF!K52</f>
        <v>0</v>
      </c>
      <c r="K46" s="55">
        <f>WPF!L24+WPF!L52</f>
        <v>0</v>
      </c>
      <c r="L46" s="55">
        <f>WPF!M24+WPF!M52</f>
        <v>0</v>
      </c>
      <c r="M46" s="55">
        <f>WPF!N24+WPF!N52</f>
        <v>0</v>
      </c>
      <c r="N46" s="55">
        <f>WPF!O24+WPF!O52</f>
        <v>0</v>
      </c>
      <c r="O46" s="55">
        <f>WPF!P24+WPF!P52</f>
        <v>0</v>
      </c>
      <c r="P46" s="55">
        <f>WPF!Q24+WPF!Q52</f>
        <v>0</v>
      </c>
    </row>
    <row r="47" spans="1:16" ht="11.25" customHeight="1">
      <c r="A47" s="137" t="s">
        <v>67</v>
      </c>
      <c r="B47" s="57" t="s">
        <v>90</v>
      </c>
      <c r="C47" s="52">
        <v>7546170</v>
      </c>
      <c r="D47" s="52">
        <v>6330000</v>
      </c>
      <c r="E47" s="52"/>
      <c r="F47" s="442">
        <v>2100000</v>
      </c>
      <c r="G47" s="450"/>
      <c r="H47" s="52"/>
      <c r="I47" s="52"/>
      <c r="J47" s="52"/>
      <c r="K47" s="52"/>
      <c r="L47" s="52"/>
      <c r="M47" s="52"/>
      <c r="N47" s="52"/>
      <c r="O47" s="52"/>
      <c r="P47" s="52"/>
    </row>
    <row r="48" spans="1:16" ht="11.25" customHeight="1">
      <c r="A48" s="137" t="s">
        <v>69</v>
      </c>
      <c r="B48" s="57" t="s">
        <v>91</v>
      </c>
      <c r="C48" s="52">
        <v>4000000</v>
      </c>
      <c r="D48" s="52">
        <v>4810000</v>
      </c>
      <c r="E48" s="52"/>
      <c r="F48" s="442"/>
      <c r="G48" s="450"/>
      <c r="H48" s="52"/>
      <c r="I48" s="52"/>
      <c r="J48" s="52"/>
      <c r="K48" s="52"/>
      <c r="L48" s="52"/>
      <c r="M48" s="52"/>
      <c r="N48" s="52"/>
      <c r="O48" s="52"/>
      <c r="P48" s="52"/>
    </row>
    <row r="49" spans="1:16" ht="11.25" customHeight="1">
      <c r="A49" s="137" t="s">
        <v>77</v>
      </c>
      <c r="B49" s="57" t="s">
        <v>98</v>
      </c>
      <c r="C49" s="52"/>
      <c r="D49" s="52">
        <v>14000000</v>
      </c>
      <c r="E49" s="52">
        <v>9000000</v>
      </c>
      <c r="F49" s="442">
        <v>11500000</v>
      </c>
      <c r="G49" s="450">
        <v>6900000</v>
      </c>
      <c r="H49" s="52"/>
      <c r="I49" s="52"/>
      <c r="J49" s="52"/>
      <c r="K49" s="52"/>
      <c r="L49" s="52"/>
      <c r="M49" s="52"/>
      <c r="N49" s="52"/>
      <c r="O49" s="52"/>
      <c r="P49" s="52"/>
    </row>
    <row r="50" spans="1:16" ht="51.75" customHeight="1">
      <c r="A50" s="137" t="s">
        <v>80</v>
      </c>
      <c r="B50" s="73" t="s">
        <v>99</v>
      </c>
      <c r="C50" s="52">
        <v>15733115</v>
      </c>
      <c r="D50" s="52">
        <v>3719761</v>
      </c>
      <c r="E50" s="52">
        <v>1245475</v>
      </c>
      <c r="F50" s="442">
        <v>427077</v>
      </c>
      <c r="G50" s="450">
        <v>35040</v>
      </c>
      <c r="H50" s="52"/>
      <c r="I50" s="52"/>
      <c r="J50" s="52"/>
      <c r="K50" s="52"/>
      <c r="L50" s="52"/>
      <c r="M50" s="52"/>
      <c r="N50" s="52"/>
      <c r="O50" s="52"/>
      <c r="P50" s="52"/>
    </row>
    <row r="51" spans="1:16" ht="14.25" customHeight="1">
      <c r="A51" s="137" t="s">
        <v>141</v>
      </c>
      <c r="B51" s="74" t="s">
        <v>100</v>
      </c>
      <c r="C51" s="52">
        <v>4121265</v>
      </c>
      <c r="D51" s="52"/>
      <c r="E51" s="52"/>
      <c r="F51" s="442"/>
      <c r="G51" s="450"/>
      <c r="H51" s="52"/>
      <c r="I51" s="52"/>
      <c r="J51" s="52"/>
      <c r="K51" s="52"/>
      <c r="L51" s="52"/>
      <c r="M51" s="52"/>
      <c r="N51" s="52"/>
      <c r="O51" s="52"/>
      <c r="P51" s="52"/>
    </row>
    <row r="52" spans="1:16" ht="21" customHeight="1">
      <c r="A52" s="75" t="s">
        <v>211</v>
      </c>
      <c r="B52" s="144" t="s">
        <v>111</v>
      </c>
      <c r="C52" s="55">
        <f>WPF!D29+WPF!D34</f>
        <v>1422000</v>
      </c>
      <c r="D52" s="55">
        <f>WPF!E29+WPF!E34</f>
        <v>3463314</v>
      </c>
      <c r="E52" s="55">
        <f>WPF!F29+WPF!F34</f>
        <v>6980085</v>
      </c>
      <c r="F52" s="444">
        <f>WPF!G29+WPF!G34</f>
        <v>4551585</v>
      </c>
      <c r="G52" s="453">
        <f>WPF!H29+WPF!H34</f>
        <v>6935040</v>
      </c>
      <c r="H52" s="55">
        <f>WPF!I29+WPF!I34</f>
        <v>7266899</v>
      </c>
      <c r="I52" s="55">
        <f>WPF!J29+WPF!J34</f>
        <v>7106453</v>
      </c>
      <c r="J52" s="55">
        <f>WPF!K29+WPF!K34</f>
        <v>6150000</v>
      </c>
      <c r="K52" s="55">
        <f>WPF!L29+WPF!L34</f>
        <v>6250000</v>
      </c>
      <c r="L52" s="55">
        <f>WPF!M29+WPF!M34</f>
        <v>6801170</v>
      </c>
      <c r="M52" s="55">
        <f>WPF!N29+WPF!N34</f>
        <v>5062028</v>
      </c>
      <c r="N52" s="55">
        <f>WPF!O29+WPF!O34</f>
        <v>7350523</v>
      </c>
      <c r="O52" s="55">
        <f>WPF!P29+WPF!P34</f>
        <v>6300000</v>
      </c>
      <c r="P52" s="55">
        <f>WPF!Q29+WPF!Q34</f>
        <v>4523949</v>
      </c>
    </row>
    <row r="53" spans="1:16" ht="12" customHeight="1">
      <c r="A53" s="77" t="s">
        <v>67</v>
      </c>
      <c r="B53" s="57" t="s">
        <v>90</v>
      </c>
      <c r="C53" s="53">
        <v>1422000</v>
      </c>
      <c r="D53" s="53">
        <v>2963314</v>
      </c>
      <c r="E53" s="78">
        <v>3340085</v>
      </c>
      <c r="F53" s="442">
        <f>WPF!G30</f>
        <v>2141585</v>
      </c>
      <c r="G53" s="450">
        <f>WPF!H30</f>
        <v>3535040</v>
      </c>
      <c r="H53" s="53">
        <f>WPF!I30</f>
        <v>3666899</v>
      </c>
      <c r="I53" s="53">
        <f>WPF!J30</f>
        <v>3506453</v>
      </c>
      <c r="J53" s="53">
        <f>WPF!K30</f>
        <v>2550000</v>
      </c>
      <c r="K53" s="53">
        <f>WPF!L30</f>
        <v>2550000</v>
      </c>
      <c r="L53" s="53">
        <f>WPF!M30</f>
        <v>2401170</v>
      </c>
      <c r="M53" s="53">
        <f>WPF!N30</f>
        <v>62028</v>
      </c>
      <c r="N53" s="53">
        <f>WPF!O30</f>
        <v>750523</v>
      </c>
      <c r="O53" s="53">
        <f>WPF!P30</f>
        <v>600000</v>
      </c>
      <c r="P53" s="53">
        <f>WPF!Q30</f>
        <v>423949</v>
      </c>
    </row>
    <row r="54" spans="1:16" ht="12" customHeight="1">
      <c r="A54" s="77" t="s">
        <v>69</v>
      </c>
      <c r="B54" s="57" t="s">
        <v>91</v>
      </c>
      <c r="C54" s="53"/>
      <c r="D54" s="53">
        <v>500000</v>
      </c>
      <c r="E54" s="78">
        <v>3600000</v>
      </c>
      <c r="F54" s="442">
        <f>WPF!G31</f>
        <v>410000</v>
      </c>
      <c r="G54" s="450">
        <f>WPF!H31</f>
        <v>400000</v>
      </c>
      <c r="H54" s="53">
        <f>WPF!I31</f>
        <v>600000</v>
      </c>
      <c r="I54" s="53">
        <f>WPF!J31</f>
        <v>600000</v>
      </c>
      <c r="J54" s="53">
        <f>WPF!K31</f>
        <v>600000</v>
      </c>
      <c r="K54" s="53">
        <f>WPF!L31</f>
        <v>700000</v>
      </c>
      <c r="L54" s="53">
        <f>WPF!M31</f>
        <v>1400000</v>
      </c>
      <c r="M54" s="53">
        <f>WPF!N31</f>
        <v>0</v>
      </c>
      <c r="N54" s="53">
        <f>WPF!O31</f>
        <v>0</v>
      </c>
      <c r="O54" s="53">
        <f>WPF!P31</f>
        <v>0</v>
      </c>
      <c r="P54" s="53">
        <f>WPF!Q31</f>
        <v>0</v>
      </c>
    </row>
    <row r="55" spans="1:16" ht="12.75" customHeight="1">
      <c r="A55" s="77" t="s">
        <v>77</v>
      </c>
      <c r="B55" s="57" t="s">
        <v>92</v>
      </c>
      <c r="C55" s="53"/>
      <c r="D55" s="53"/>
      <c r="E55" s="78"/>
      <c r="F55" s="442">
        <f>WPF!G32</f>
        <v>2000000</v>
      </c>
      <c r="G55" s="450">
        <f>WPF!H32</f>
        <v>3000000</v>
      </c>
      <c r="H55" s="53">
        <f>WPF!I32</f>
        <v>3000000</v>
      </c>
      <c r="I55" s="53">
        <f>WPF!J32</f>
        <v>3000000</v>
      </c>
      <c r="J55" s="53">
        <f>WPF!K32</f>
        <v>3000000</v>
      </c>
      <c r="K55" s="53">
        <f>WPF!L32</f>
        <v>3000000</v>
      </c>
      <c r="L55" s="53">
        <f>WPF!M32</f>
        <v>3000000</v>
      </c>
      <c r="M55" s="53">
        <f>WPF!N32</f>
        <v>5000000</v>
      </c>
      <c r="N55" s="53">
        <f>WPF!O32</f>
        <v>6600000</v>
      </c>
      <c r="O55" s="53">
        <f>WPF!P32</f>
        <v>5700000</v>
      </c>
      <c r="P55" s="53">
        <f>WPF!Q32</f>
        <v>4100000</v>
      </c>
    </row>
    <row r="56" spans="1:16" ht="36" customHeight="1" thickBot="1">
      <c r="A56" s="147">
        <v>16</v>
      </c>
      <c r="B56" s="148" t="s">
        <v>144</v>
      </c>
      <c r="C56" s="149">
        <f>(WPF!D14+WPF!D24)/'Prognoza długu'!C25%</f>
        <v>157.7697469829884</v>
      </c>
      <c r="D56" s="149">
        <f>(WPF!E14+WPF!E24)/'Prognoza długu'!D25%</f>
        <v>116.24893719986517</v>
      </c>
      <c r="E56" s="149">
        <f>(WPF!F14+WPF!F24)/'Prognoza długu'!E25%</f>
        <v>109.50668943564182</v>
      </c>
      <c r="F56" s="447">
        <f>(WPF!G14+WPF!G24)/'Prognoza długu'!F25%</f>
        <v>109.5395095059268</v>
      </c>
      <c r="G56" s="454">
        <f>(WPF!H14+WPF!H24)/'Prognoza długu'!G25%</f>
        <v>102.09930797090378</v>
      </c>
      <c r="H56" s="149">
        <f>(WPF!I14+WPF!I24)/'Prognoza długu'!H25%</f>
        <v>128.74141212576933</v>
      </c>
      <c r="I56" s="149">
        <f>(WPF!J14+WPF!J24)/'Prognoza długu'!I25%</f>
        <v>133.62782307214837</v>
      </c>
      <c r="J56" s="149">
        <f>(WPF!K14+WPF!K24)/'Prognoza długu'!J25%</f>
        <v>141.21057059271695</v>
      </c>
      <c r="K56" s="149">
        <f>(WPF!L14+WPF!L24)/'Prognoza długu'!K25%</f>
        <v>124.72566253037135</v>
      </c>
      <c r="L56" s="149">
        <f>(WPF!M14+WPF!M24)/'Prognoza długu'!L25%</f>
        <v>126.2044818932295</v>
      </c>
      <c r="M56" s="149">
        <f>(WPF!N14+WPF!N24)/'Prognoza długu'!M25%</f>
        <v>126.35710440384356</v>
      </c>
      <c r="N56" s="149">
        <f>(WPF!O14+WPF!O24)/'Prognoza długu'!N25%</f>
        <v>130.75654626875075</v>
      </c>
      <c r="O56" s="149">
        <f>(WPF!P14+WPF!P24)/'Prognoza długu'!O25%</f>
        <v>129.03440549707784</v>
      </c>
      <c r="P56" s="149">
        <f>(WPF!Q14+WPF!Q24)/'Prognoza długu'!P25%</f>
        <v>128.49611105587425</v>
      </c>
    </row>
    <row r="57" spans="1:16" ht="12.75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</row>
    <row r="58" spans="1:16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</row>
  </sheetData>
  <sheetProtection/>
  <mergeCells count="11">
    <mergeCell ref="C8:E8"/>
    <mergeCell ref="A39:A41"/>
    <mergeCell ref="B39:B41"/>
    <mergeCell ref="C39:P39"/>
    <mergeCell ref="C40:E40"/>
    <mergeCell ref="F40:P40"/>
    <mergeCell ref="A6:P6"/>
    <mergeCell ref="A7:A9"/>
    <mergeCell ref="B7:B9"/>
    <mergeCell ref="C7:P7"/>
    <mergeCell ref="F8:P8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8"/>
  <sheetViews>
    <sheetView view="pageLayout" zoomScaleNormal="90" workbookViewId="0" topLeftCell="A92">
      <pane xSplit="16875" topLeftCell="L1" activePane="topLeft" state="split"/>
      <selection pane="topLeft" activeCell="N110" sqref="N110"/>
      <selection pane="topRight" activeCell="L17" sqref="L17"/>
    </sheetView>
  </sheetViews>
  <sheetFormatPr defaultColWidth="11.57421875" defaultRowHeight="12.75"/>
  <cols>
    <col min="1" max="1" width="6.57421875" style="0" customWidth="1"/>
    <col min="2" max="2" width="45.57421875" style="0" customWidth="1"/>
    <col min="3" max="3" width="10.421875" style="31" customWidth="1"/>
    <col min="4" max="5" width="8.28125" style="31" customWidth="1"/>
    <col min="6" max="7" width="7.00390625" style="31" customWidth="1"/>
    <col min="8" max="8" width="8.00390625" style="31" customWidth="1"/>
    <col min="9" max="9" width="18.8515625" style="31" customWidth="1"/>
    <col min="10" max="10" width="14.140625" style="31" customWidth="1"/>
    <col min="11" max="11" width="14.28125" style="31" customWidth="1"/>
    <col min="12" max="12" width="14.140625" style="31" customWidth="1"/>
    <col min="13" max="13" width="15.00390625" style="31" customWidth="1"/>
    <col min="14" max="14" width="15.140625" style="31" customWidth="1"/>
    <col min="15" max="15" width="20.00390625" style="0" customWidth="1"/>
    <col min="16" max="16" width="11.7109375" style="0" bestFit="1" customWidth="1"/>
  </cols>
  <sheetData>
    <row r="1" spans="1:15" s="33" customFormat="1" ht="15" customHeight="1">
      <c r="A1" s="368"/>
      <c r="B1" s="151"/>
      <c r="C1" s="151"/>
      <c r="D1" s="151"/>
      <c r="E1" s="151"/>
      <c r="F1" s="151"/>
      <c r="G1" s="152"/>
      <c r="H1" s="151"/>
      <c r="I1" s="151"/>
      <c r="J1" s="151"/>
      <c r="K1" s="151"/>
      <c r="L1" s="151"/>
      <c r="M1" s="60" t="s">
        <v>145</v>
      </c>
      <c r="N1" s="60"/>
      <c r="O1" s="151"/>
    </row>
    <row r="2" spans="1:15" s="36" customFormat="1" ht="4.5" customHeight="1">
      <c r="A2" s="368"/>
      <c r="B2" s="151"/>
      <c r="C2" s="151"/>
      <c r="D2" s="151"/>
      <c r="E2" s="151"/>
      <c r="F2" s="151"/>
      <c r="G2" s="153"/>
      <c r="H2" s="151"/>
      <c r="I2" s="151"/>
      <c r="J2" s="151"/>
      <c r="K2" s="151"/>
      <c r="L2" s="151"/>
      <c r="M2" s="65"/>
      <c r="N2" s="66"/>
      <c r="O2" s="151"/>
    </row>
    <row r="3" spans="1:15" s="36" customFormat="1" ht="12.75" customHeight="1">
      <c r="A3" s="368"/>
      <c r="B3" s="151"/>
      <c r="C3" s="151"/>
      <c r="D3" s="151"/>
      <c r="E3" s="151"/>
      <c r="F3" s="151"/>
      <c r="G3" s="154"/>
      <c r="H3" s="151"/>
      <c r="I3" s="151"/>
      <c r="J3" s="151"/>
      <c r="K3" s="151"/>
      <c r="L3" s="151"/>
      <c r="M3" s="70" t="s">
        <v>331</v>
      </c>
      <c r="N3" s="66"/>
      <c r="O3" s="151"/>
    </row>
    <row r="4" spans="1:15" s="36" customFormat="1" ht="12.75" customHeight="1">
      <c r="A4" s="368"/>
      <c r="B4" s="151"/>
      <c r="C4" s="151"/>
      <c r="D4" s="151"/>
      <c r="E4" s="151"/>
      <c r="F4" s="151"/>
      <c r="G4" s="154"/>
      <c r="H4" s="151"/>
      <c r="I4" s="151"/>
      <c r="J4" s="151"/>
      <c r="K4" s="151"/>
      <c r="L4" s="151"/>
      <c r="M4" s="70" t="s">
        <v>49</v>
      </c>
      <c r="N4" s="66"/>
      <c r="O4" s="151"/>
    </row>
    <row r="5" spans="1:15" s="36" customFormat="1" ht="12.75" customHeight="1" thickBot="1">
      <c r="A5" s="368"/>
      <c r="B5" s="151"/>
      <c r="C5" s="151"/>
      <c r="D5" s="151"/>
      <c r="E5" s="151"/>
      <c r="F5" s="151"/>
      <c r="G5" s="154"/>
      <c r="H5" s="151"/>
      <c r="I5" s="151"/>
      <c r="J5" s="151"/>
      <c r="K5" s="151"/>
      <c r="L5" s="151"/>
      <c r="M5" s="70" t="s">
        <v>332</v>
      </c>
      <c r="N5" s="66"/>
      <c r="O5" s="151"/>
    </row>
    <row r="6" spans="1:15" s="36" customFormat="1" ht="12.75" customHeight="1">
      <c r="A6" s="629" t="s">
        <v>282</v>
      </c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</row>
    <row r="7" spans="1:15" s="36" customFormat="1" ht="12.75" customHeight="1" thickBot="1">
      <c r="A7" s="630"/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</row>
    <row r="8" spans="1:15" s="36" customFormat="1" ht="12.75" customHeight="1">
      <c r="A8" s="610" t="s">
        <v>113</v>
      </c>
      <c r="B8" s="613" t="s">
        <v>146</v>
      </c>
      <c r="C8" s="616" t="s">
        <v>147</v>
      </c>
      <c r="D8" s="619" t="s">
        <v>234</v>
      </c>
      <c r="E8" s="619"/>
      <c r="F8" s="619" t="s">
        <v>148</v>
      </c>
      <c r="G8" s="619"/>
      <c r="H8" s="619"/>
      <c r="I8" s="604" t="s">
        <v>149</v>
      </c>
      <c r="J8" s="604"/>
      <c r="K8" s="604"/>
      <c r="L8" s="604"/>
      <c r="M8" s="604"/>
      <c r="N8" s="604"/>
      <c r="O8" s="605" t="s">
        <v>150</v>
      </c>
    </row>
    <row r="9" spans="1:15" s="36" customFormat="1" ht="12.75" customHeight="1">
      <c r="A9" s="611"/>
      <c r="B9" s="614"/>
      <c r="C9" s="617"/>
      <c r="D9" s="620"/>
      <c r="E9" s="620"/>
      <c r="F9" s="620"/>
      <c r="G9" s="620"/>
      <c r="H9" s="620"/>
      <c r="I9" s="625"/>
      <c r="J9" s="608">
        <v>2012</v>
      </c>
      <c r="K9" s="608">
        <v>2013</v>
      </c>
      <c r="L9" s="608">
        <v>2014</v>
      </c>
      <c r="M9" s="608">
        <v>2015</v>
      </c>
      <c r="N9" s="608">
        <v>2016</v>
      </c>
      <c r="O9" s="606"/>
    </row>
    <row r="10" spans="1:15" s="36" customFormat="1" ht="23.25" customHeight="1" thickBot="1">
      <c r="A10" s="612"/>
      <c r="B10" s="615"/>
      <c r="C10" s="618"/>
      <c r="D10" s="369" t="s">
        <v>151</v>
      </c>
      <c r="E10" s="369" t="s">
        <v>152</v>
      </c>
      <c r="F10" s="369" t="s">
        <v>153</v>
      </c>
      <c r="G10" s="369" t="s">
        <v>154</v>
      </c>
      <c r="H10" s="369" t="s">
        <v>155</v>
      </c>
      <c r="I10" s="626"/>
      <c r="J10" s="609"/>
      <c r="K10" s="609"/>
      <c r="L10" s="609"/>
      <c r="M10" s="609"/>
      <c r="N10" s="609"/>
      <c r="O10" s="607"/>
    </row>
    <row r="11" spans="1:15" s="32" customFormat="1" ht="15.75" customHeight="1">
      <c r="A11" s="155"/>
      <c r="B11" s="156" t="s">
        <v>156</v>
      </c>
      <c r="C11" s="157" t="s">
        <v>82</v>
      </c>
      <c r="D11" s="157" t="s">
        <v>82</v>
      </c>
      <c r="E11" s="157" t="s">
        <v>82</v>
      </c>
      <c r="F11" s="157"/>
      <c r="G11" s="157"/>
      <c r="H11" s="157"/>
      <c r="I11" s="158">
        <f aca="true" t="shared" si="0" ref="I11:N11">I12+I13</f>
        <v>231559179</v>
      </c>
      <c r="J11" s="158">
        <f t="shared" si="0"/>
        <v>73253980</v>
      </c>
      <c r="K11" s="158">
        <f t="shared" si="0"/>
        <v>77281389</v>
      </c>
      <c r="L11" s="159">
        <f>L12+L13</f>
        <v>24301859</v>
      </c>
      <c r="M11" s="159">
        <f t="shared" si="0"/>
        <v>38449000</v>
      </c>
      <c r="N11" s="159">
        <f t="shared" si="0"/>
        <v>526000</v>
      </c>
      <c r="O11" s="160">
        <f>SUM(J11:N11)</f>
        <v>213812228</v>
      </c>
    </row>
    <row r="12" spans="1:15" s="37" customFormat="1" ht="14.25" customHeight="1">
      <c r="A12" s="161"/>
      <c r="B12" s="162" t="s">
        <v>157</v>
      </c>
      <c r="C12" s="90" t="s">
        <v>82</v>
      </c>
      <c r="D12" s="90" t="s">
        <v>82</v>
      </c>
      <c r="E12" s="90" t="s">
        <v>82</v>
      </c>
      <c r="F12" s="90"/>
      <c r="G12" s="90"/>
      <c r="H12" s="90"/>
      <c r="I12" s="163">
        <f aca="true" t="shared" si="1" ref="I12:N12">I87</f>
        <v>16380153</v>
      </c>
      <c r="J12" s="163">
        <f t="shared" si="1"/>
        <v>8318086</v>
      </c>
      <c r="K12" s="163">
        <f t="shared" si="1"/>
        <v>2800928</v>
      </c>
      <c r="L12" s="163">
        <f t="shared" si="1"/>
        <v>2661859</v>
      </c>
      <c r="M12" s="163">
        <f t="shared" si="1"/>
        <v>649000</v>
      </c>
      <c r="N12" s="163">
        <f t="shared" si="1"/>
        <v>526000</v>
      </c>
      <c r="O12" s="165">
        <f>SUM(J12:M12)</f>
        <v>14429873</v>
      </c>
    </row>
    <row r="13" spans="1:16" s="37" customFormat="1" ht="14.25" customHeight="1">
      <c r="A13" s="161"/>
      <c r="B13" s="162" t="s">
        <v>158</v>
      </c>
      <c r="C13" s="90" t="s">
        <v>82</v>
      </c>
      <c r="D13" s="90" t="s">
        <v>82</v>
      </c>
      <c r="E13" s="90" t="s">
        <v>82</v>
      </c>
      <c r="F13" s="90"/>
      <c r="G13" s="90"/>
      <c r="H13" s="90"/>
      <c r="I13" s="163">
        <f aca="true" t="shared" si="2" ref="I13:M14">I14</f>
        <v>215179026</v>
      </c>
      <c r="J13" s="163">
        <f t="shared" si="2"/>
        <v>64935894</v>
      </c>
      <c r="K13" s="163">
        <f t="shared" si="2"/>
        <v>74480461</v>
      </c>
      <c r="L13" s="163">
        <f t="shared" si="2"/>
        <v>21640000</v>
      </c>
      <c r="M13" s="163">
        <f t="shared" si="2"/>
        <v>37800000</v>
      </c>
      <c r="N13" s="164">
        <v>0</v>
      </c>
      <c r="O13" s="165">
        <f>SUM(J13:M13)</f>
        <v>198856355</v>
      </c>
      <c r="P13" s="38"/>
    </row>
    <row r="14" spans="1:15" s="39" customFormat="1" ht="30.75" customHeight="1">
      <c r="A14" s="166" t="s">
        <v>159</v>
      </c>
      <c r="B14" s="167" t="s">
        <v>272</v>
      </c>
      <c r="C14" s="168" t="s">
        <v>82</v>
      </c>
      <c r="D14" s="168" t="s">
        <v>82</v>
      </c>
      <c r="E14" s="168" t="s">
        <v>82</v>
      </c>
      <c r="F14" s="168"/>
      <c r="G14" s="168"/>
      <c r="H14" s="168"/>
      <c r="I14" s="169">
        <f>I15</f>
        <v>215179026</v>
      </c>
      <c r="J14" s="169">
        <f t="shared" si="2"/>
        <v>64935894</v>
      </c>
      <c r="K14" s="169">
        <f t="shared" si="2"/>
        <v>74480461</v>
      </c>
      <c r="L14" s="170">
        <f>L15</f>
        <v>21640000</v>
      </c>
      <c r="M14" s="170">
        <f>M15</f>
        <v>37800000</v>
      </c>
      <c r="N14" s="169">
        <f>N15</f>
        <v>0</v>
      </c>
      <c r="O14" s="171">
        <f>SUM(J14:M14)</f>
        <v>198856355</v>
      </c>
    </row>
    <row r="15" spans="1:19" s="37" customFormat="1" ht="15.75">
      <c r="A15" s="161"/>
      <c r="B15" s="162" t="s">
        <v>158</v>
      </c>
      <c r="C15" s="90" t="s">
        <v>82</v>
      </c>
      <c r="D15" s="90" t="s">
        <v>82</v>
      </c>
      <c r="E15" s="90" t="s">
        <v>82</v>
      </c>
      <c r="F15" s="90"/>
      <c r="G15" s="90"/>
      <c r="H15" s="90"/>
      <c r="I15" s="163">
        <f aca="true" t="shared" si="3" ref="I15:N15">I17+I62</f>
        <v>215179026</v>
      </c>
      <c r="J15" s="163">
        <f t="shared" si="3"/>
        <v>64935894</v>
      </c>
      <c r="K15" s="163">
        <f t="shared" si="3"/>
        <v>74480461</v>
      </c>
      <c r="L15" s="163">
        <f>L17+L62</f>
        <v>21640000</v>
      </c>
      <c r="M15" s="163">
        <f t="shared" si="3"/>
        <v>37800000</v>
      </c>
      <c r="N15" s="163">
        <f t="shared" si="3"/>
        <v>0</v>
      </c>
      <c r="O15" s="163">
        <f>O17+O62</f>
        <v>198856355</v>
      </c>
      <c r="P15" s="358">
        <f>P18+P62</f>
        <v>198856355</v>
      </c>
      <c r="Q15" s="40"/>
      <c r="R15" s="40"/>
      <c r="S15" s="40"/>
    </row>
    <row r="16" spans="1:26" s="43" customFormat="1" ht="55.5" customHeight="1">
      <c r="A16" s="166" t="s">
        <v>160</v>
      </c>
      <c r="B16" s="361" t="s">
        <v>161</v>
      </c>
      <c r="C16" s="168" t="s">
        <v>82</v>
      </c>
      <c r="D16" s="168" t="s">
        <v>82</v>
      </c>
      <c r="E16" s="168" t="s">
        <v>82</v>
      </c>
      <c r="F16" s="168"/>
      <c r="G16" s="168"/>
      <c r="H16" s="168"/>
      <c r="I16" s="169">
        <f>I17</f>
        <v>192524466</v>
      </c>
      <c r="J16" s="169">
        <f>J17</f>
        <v>54583446</v>
      </c>
      <c r="K16" s="169">
        <f>K17</f>
        <v>66566261</v>
      </c>
      <c r="L16" s="169">
        <f>L17</f>
        <v>19940000</v>
      </c>
      <c r="M16" s="169">
        <f>M17</f>
        <v>37800000</v>
      </c>
      <c r="N16" s="168">
        <v>0</v>
      </c>
      <c r="O16" s="171">
        <f>SUM(J16:M16)</f>
        <v>178889707</v>
      </c>
      <c r="P16" s="41"/>
      <c r="Q16" s="41"/>
      <c r="R16" s="41"/>
      <c r="S16" s="41"/>
      <c r="T16" s="42"/>
      <c r="U16" s="42"/>
      <c r="V16" s="42"/>
      <c r="W16" s="42"/>
      <c r="X16" s="42"/>
      <c r="Y16" s="42"/>
      <c r="Z16" s="42"/>
    </row>
    <row r="17" spans="1:15" s="37" customFormat="1" ht="15.75">
      <c r="A17" s="161"/>
      <c r="B17" s="162" t="s">
        <v>158</v>
      </c>
      <c r="C17" s="90" t="s">
        <v>82</v>
      </c>
      <c r="D17" s="90" t="s">
        <v>82</v>
      </c>
      <c r="E17" s="90" t="s">
        <v>82</v>
      </c>
      <c r="F17" s="90"/>
      <c r="G17" s="90"/>
      <c r="H17" s="90"/>
      <c r="I17" s="163">
        <f aca="true" t="shared" si="4" ref="I17:O17">I18+I34+I50</f>
        <v>192524466</v>
      </c>
      <c r="J17" s="163">
        <f t="shared" si="4"/>
        <v>54583446</v>
      </c>
      <c r="K17" s="163">
        <f t="shared" si="4"/>
        <v>66566261</v>
      </c>
      <c r="L17" s="163">
        <f t="shared" si="4"/>
        <v>19940000</v>
      </c>
      <c r="M17" s="163">
        <f>M18+M34+M50</f>
        <v>37800000</v>
      </c>
      <c r="N17" s="163">
        <f t="shared" si="4"/>
        <v>0</v>
      </c>
      <c r="O17" s="172">
        <f t="shared" si="4"/>
        <v>178889707</v>
      </c>
    </row>
    <row r="18" spans="1:16" s="44" customFormat="1" ht="30.75" customHeight="1">
      <c r="A18" s="402" t="s">
        <v>162</v>
      </c>
      <c r="B18" s="403" t="s">
        <v>163</v>
      </c>
      <c r="C18" s="404" t="s">
        <v>164</v>
      </c>
      <c r="D18" s="389">
        <v>2004</v>
      </c>
      <c r="E18" s="389">
        <v>2015</v>
      </c>
      <c r="F18" s="621" t="s">
        <v>239</v>
      </c>
      <c r="G18" s="621"/>
      <c r="H18" s="621"/>
      <c r="I18" s="405">
        <f>I19+I23+I27+I28+I29+I30+I31+I33+I32</f>
        <v>80889914</v>
      </c>
      <c r="J18" s="405">
        <f>J19+J23+J27+J28+J29+J30+J31+J33+J32</f>
        <v>25590446</v>
      </c>
      <c r="K18" s="405">
        <f>K23+K19+K33+K29+K28+K27+K30+K31</f>
        <v>35621261</v>
      </c>
      <c r="L18" s="405">
        <f>L23+L19+L33+L29+L28+L27+L30</f>
        <v>4000000</v>
      </c>
      <c r="M18" s="405">
        <f>M23+M19+M33+M29+M28+M27+M30</f>
        <v>6000000</v>
      </c>
      <c r="N18" s="405">
        <f>N23+N19+N33+N29+N28+N27+N30</f>
        <v>0</v>
      </c>
      <c r="O18" s="405">
        <f>O23+O19+SUM(O27:O33)</f>
        <v>71211707</v>
      </c>
      <c r="P18" s="357">
        <f>SUM(J17:M17)</f>
        <v>178889707</v>
      </c>
    </row>
    <row r="19" spans="1:15" s="19" customFormat="1" ht="15.75" customHeight="1">
      <c r="A19" s="196" t="s">
        <v>165</v>
      </c>
      <c r="B19" s="622" t="s">
        <v>166</v>
      </c>
      <c r="C19" s="174" t="s">
        <v>167</v>
      </c>
      <c r="D19" s="195">
        <v>2004</v>
      </c>
      <c r="E19" s="195">
        <v>2015</v>
      </c>
      <c r="F19" s="628" t="s">
        <v>168</v>
      </c>
      <c r="G19" s="628"/>
      <c r="H19" s="628"/>
      <c r="I19" s="176">
        <f>SUM(I20:I22)</f>
        <v>48303951</v>
      </c>
      <c r="J19" s="176">
        <f>SUM(J20:J22)</f>
        <v>15170250</v>
      </c>
      <c r="K19" s="176">
        <f>SUM(K20:K22)</f>
        <v>17366261</v>
      </c>
      <c r="L19" s="176">
        <f>SUM(L20:L22)</f>
        <v>4000000</v>
      </c>
      <c r="M19" s="176">
        <f>SUM(M20:M22)</f>
        <v>6000000</v>
      </c>
      <c r="N19" s="175">
        <v>0</v>
      </c>
      <c r="O19" s="165">
        <f>SUM(J19:M19)</f>
        <v>42536511</v>
      </c>
    </row>
    <row r="20" spans="1:15" s="19" customFormat="1" ht="15" customHeight="1">
      <c r="A20" s="203"/>
      <c r="B20" s="623"/>
      <c r="C20" s="363"/>
      <c r="D20" s="363"/>
      <c r="E20" s="363"/>
      <c r="F20" s="177" t="s">
        <v>169</v>
      </c>
      <c r="G20" s="177" t="s">
        <v>170</v>
      </c>
      <c r="H20" s="177">
        <v>6050</v>
      </c>
      <c r="I20" s="178">
        <v>17798951</v>
      </c>
      <c r="J20" s="178">
        <v>5827710</v>
      </c>
      <c r="K20" s="179"/>
      <c r="L20" s="179">
        <v>4000000</v>
      </c>
      <c r="M20" s="179">
        <v>6000000</v>
      </c>
      <c r="N20" s="180"/>
      <c r="O20" s="181">
        <f aca="true" t="shared" si="5" ref="O20:O33">SUM(J20:M20)</f>
        <v>15827710</v>
      </c>
    </row>
    <row r="21" spans="1:15" s="19" customFormat="1" ht="15.75" customHeight="1">
      <c r="A21" s="203"/>
      <c r="B21" s="380"/>
      <c r="C21" s="363"/>
      <c r="D21" s="363"/>
      <c r="E21" s="363"/>
      <c r="F21" s="182"/>
      <c r="G21" s="182"/>
      <c r="H21" s="182">
        <v>6058</v>
      </c>
      <c r="I21" s="183">
        <v>21980500</v>
      </c>
      <c r="J21" s="183">
        <v>7102999</v>
      </c>
      <c r="K21" s="184">
        <v>14877501</v>
      </c>
      <c r="L21" s="185"/>
      <c r="M21" s="185"/>
      <c r="N21" s="185"/>
      <c r="O21" s="186">
        <f t="shared" si="5"/>
        <v>21980500</v>
      </c>
    </row>
    <row r="22" spans="1:15" s="19" customFormat="1" ht="12.75">
      <c r="A22" s="364"/>
      <c r="B22" s="381"/>
      <c r="C22" s="365"/>
      <c r="D22" s="365"/>
      <c r="E22" s="365"/>
      <c r="F22" s="187"/>
      <c r="G22" s="187"/>
      <c r="H22" s="187">
        <v>6059</v>
      </c>
      <c r="I22" s="188">
        <v>8524500</v>
      </c>
      <c r="J22" s="188">
        <v>2239541</v>
      </c>
      <c r="K22" s="189">
        <v>2488760</v>
      </c>
      <c r="L22" s="190"/>
      <c r="M22" s="190"/>
      <c r="N22" s="190"/>
      <c r="O22" s="191">
        <f t="shared" si="5"/>
        <v>4728301</v>
      </c>
    </row>
    <row r="23" spans="1:15" s="19" customFormat="1" ht="14.25" customHeight="1">
      <c r="A23" s="196" t="s">
        <v>171</v>
      </c>
      <c r="B23" s="622" t="s">
        <v>172</v>
      </c>
      <c r="C23" s="362" t="s">
        <v>167</v>
      </c>
      <c r="D23" s="362">
        <v>2004</v>
      </c>
      <c r="E23" s="362">
        <v>2013</v>
      </c>
      <c r="F23" s="624" t="s">
        <v>168</v>
      </c>
      <c r="G23" s="624"/>
      <c r="H23" s="624"/>
      <c r="I23" s="176">
        <f>SUM(I24:I26)</f>
        <v>29671509</v>
      </c>
      <c r="J23" s="176">
        <f>SUM(J24:J26)</f>
        <v>7948196</v>
      </c>
      <c r="K23" s="176">
        <f>SUM(K24:K26)</f>
        <v>18255000</v>
      </c>
      <c r="L23" s="240">
        <v>0</v>
      </c>
      <c r="M23" s="175">
        <v>0</v>
      </c>
      <c r="N23" s="175">
        <v>0</v>
      </c>
      <c r="O23" s="165">
        <f t="shared" si="5"/>
        <v>26203196</v>
      </c>
    </row>
    <row r="24" spans="1:15" s="19" customFormat="1" ht="15" customHeight="1">
      <c r="A24" s="203"/>
      <c r="B24" s="623"/>
      <c r="C24" s="363"/>
      <c r="D24" s="363"/>
      <c r="E24" s="363"/>
      <c r="F24" s="177" t="s">
        <v>169</v>
      </c>
      <c r="G24" s="177" t="s">
        <v>170</v>
      </c>
      <c r="H24" s="177">
        <v>6050</v>
      </c>
      <c r="I24" s="178">
        <v>5916509</v>
      </c>
      <c r="J24" s="178">
        <v>1948196</v>
      </c>
      <c r="K24" s="179">
        <v>500000</v>
      </c>
      <c r="L24" s="180"/>
      <c r="M24" s="180"/>
      <c r="N24" s="180"/>
      <c r="O24" s="181">
        <f t="shared" si="5"/>
        <v>2448196</v>
      </c>
    </row>
    <row r="25" spans="1:15" s="19" customFormat="1" ht="15" customHeight="1">
      <c r="A25" s="203"/>
      <c r="B25" s="382"/>
      <c r="C25" s="363"/>
      <c r="D25" s="363"/>
      <c r="E25" s="363"/>
      <c r="F25" s="182"/>
      <c r="G25" s="182"/>
      <c r="H25" s="182">
        <v>6058</v>
      </c>
      <c r="I25" s="183">
        <v>19835000</v>
      </c>
      <c r="J25" s="183">
        <v>3600000</v>
      </c>
      <c r="K25" s="184">
        <v>16235000</v>
      </c>
      <c r="L25" s="185"/>
      <c r="M25" s="185"/>
      <c r="N25" s="185"/>
      <c r="O25" s="186">
        <f t="shared" si="5"/>
        <v>19835000</v>
      </c>
    </row>
    <row r="26" spans="1:15" s="19" customFormat="1" ht="12.75" customHeight="1">
      <c r="A26" s="364"/>
      <c r="B26" s="381"/>
      <c r="C26" s="366"/>
      <c r="D26" s="366"/>
      <c r="E26" s="365"/>
      <c r="F26" s="187"/>
      <c r="G26" s="187"/>
      <c r="H26" s="187">
        <v>6059</v>
      </c>
      <c r="I26" s="188">
        <v>3920000</v>
      </c>
      <c r="J26" s="188">
        <v>2400000</v>
      </c>
      <c r="K26" s="189">
        <v>1520000</v>
      </c>
      <c r="L26" s="190"/>
      <c r="M26" s="190"/>
      <c r="N26" s="190"/>
      <c r="O26" s="191">
        <f t="shared" si="5"/>
        <v>3920000</v>
      </c>
    </row>
    <row r="27" spans="1:15" s="19" customFormat="1" ht="26.25" customHeight="1">
      <c r="A27" s="364" t="s">
        <v>246</v>
      </c>
      <c r="B27" s="383" t="s">
        <v>257</v>
      </c>
      <c r="C27" s="390" t="s">
        <v>167</v>
      </c>
      <c r="D27" s="365">
        <v>2011</v>
      </c>
      <c r="E27" s="365">
        <v>2012</v>
      </c>
      <c r="F27" s="392" t="s">
        <v>169</v>
      </c>
      <c r="G27" s="392" t="s">
        <v>170</v>
      </c>
      <c r="H27" s="365">
        <v>6050</v>
      </c>
      <c r="I27" s="377">
        <v>140000</v>
      </c>
      <c r="J27" s="377">
        <v>136000</v>
      </c>
      <c r="K27" s="378"/>
      <c r="L27" s="379"/>
      <c r="M27" s="379"/>
      <c r="N27" s="379"/>
      <c r="O27" s="191">
        <f t="shared" si="5"/>
        <v>136000</v>
      </c>
    </row>
    <row r="28" spans="1:15" s="19" customFormat="1" ht="39.75" customHeight="1">
      <c r="A28" s="364" t="s">
        <v>247</v>
      </c>
      <c r="B28" s="383" t="s">
        <v>258</v>
      </c>
      <c r="C28" s="390" t="s">
        <v>167</v>
      </c>
      <c r="D28" s="365">
        <v>2011</v>
      </c>
      <c r="E28" s="365">
        <v>2012</v>
      </c>
      <c r="F28" s="392" t="s">
        <v>169</v>
      </c>
      <c r="G28" s="392" t="s">
        <v>170</v>
      </c>
      <c r="H28" s="365">
        <v>6050</v>
      </c>
      <c r="I28" s="377">
        <v>272000</v>
      </c>
      <c r="J28" s="377">
        <v>268000</v>
      </c>
      <c r="K28" s="378"/>
      <c r="L28" s="379"/>
      <c r="M28" s="379"/>
      <c r="N28" s="379"/>
      <c r="O28" s="191">
        <f t="shared" si="5"/>
        <v>268000</v>
      </c>
    </row>
    <row r="29" spans="1:15" s="19" customFormat="1" ht="27.75" customHeight="1">
      <c r="A29" s="364" t="s">
        <v>255</v>
      </c>
      <c r="B29" s="384" t="s">
        <v>314</v>
      </c>
      <c r="C29" s="493" t="s">
        <v>288</v>
      </c>
      <c r="D29" s="365">
        <v>2011</v>
      </c>
      <c r="E29" s="365">
        <v>2012</v>
      </c>
      <c r="F29" s="365">
        <v>900</v>
      </c>
      <c r="G29" s="365">
        <v>90001</v>
      </c>
      <c r="H29" s="365">
        <v>6050</v>
      </c>
      <c r="I29" s="377">
        <v>100000</v>
      </c>
      <c r="J29" s="377">
        <v>98000</v>
      </c>
      <c r="K29" s="378"/>
      <c r="L29" s="379"/>
      <c r="M29" s="379"/>
      <c r="N29" s="379"/>
      <c r="O29" s="191">
        <f t="shared" si="5"/>
        <v>98000</v>
      </c>
    </row>
    <row r="30" spans="1:15" s="19" customFormat="1" ht="18" customHeight="1">
      <c r="A30" s="364" t="s">
        <v>256</v>
      </c>
      <c r="B30" s="383" t="s">
        <v>197</v>
      </c>
      <c r="C30" s="409" t="s">
        <v>167</v>
      </c>
      <c r="D30" s="365">
        <v>2011</v>
      </c>
      <c r="E30" s="365">
        <v>2012</v>
      </c>
      <c r="F30" s="365">
        <v>900</v>
      </c>
      <c r="G30" s="365">
        <v>90001</v>
      </c>
      <c r="H30" s="365">
        <v>6050</v>
      </c>
      <c r="I30" s="377">
        <v>2229454</v>
      </c>
      <c r="J30" s="377">
        <v>1800000</v>
      </c>
      <c r="K30" s="378"/>
      <c r="L30" s="379"/>
      <c r="M30" s="379"/>
      <c r="N30" s="379"/>
      <c r="O30" s="191">
        <f t="shared" si="5"/>
        <v>1800000</v>
      </c>
    </row>
    <row r="31" spans="1:15" s="19" customFormat="1" ht="34.5" customHeight="1">
      <c r="A31" s="364" t="s">
        <v>271</v>
      </c>
      <c r="B31" s="522" t="s">
        <v>329</v>
      </c>
      <c r="C31" s="435" t="s">
        <v>167</v>
      </c>
      <c r="D31" s="365">
        <v>2011</v>
      </c>
      <c r="E31" s="365">
        <v>2012</v>
      </c>
      <c r="F31" s="365">
        <v>900</v>
      </c>
      <c r="G31" s="365">
        <v>90001</v>
      </c>
      <c r="H31" s="365">
        <v>6050</v>
      </c>
      <c r="I31" s="377">
        <v>51000</v>
      </c>
      <c r="J31" s="377">
        <v>50000</v>
      </c>
      <c r="K31" s="378"/>
      <c r="L31" s="379"/>
      <c r="M31" s="379"/>
      <c r="N31" s="379"/>
      <c r="O31" s="191">
        <f t="shared" si="5"/>
        <v>50000</v>
      </c>
    </row>
    <row r="32" spans="1:15" s="19" customFormat="1" ht="26.25" customHeight="1">
      <c r="A32" s="364" t="s">
        <v>277</v>
      </c>
      <c r="B32" s="384" t="s">
        <v>325</v>
      </c>
      <c r="C32" s="509" t="s">
        <v>167</v>
      </c>
      <c r="D32" s="365">
        <v>2011</v>
      </c>
      <c r="E32" s="365">
        <v>2012</v>
      </c>
      <c r="F32" s="365">
        <v>900</v>
      </c>
      <c r="G32" s="365">
        <v>90001</v>
      </c>
      <c r="H32" s="365">
        <v>6050</v>
      </c>
      <c r="I32" s="377">
        <v>71000</v>
      </c>
      <c r="J32" s="377">
        <v>70000</v>
      </c>
      <c r="K32" s="378"/>
      <c r="L32" s="379"/>
      <c r="M32" s="379"/>
      <c r="N32" s="379"/>
      <c r="O32" s="191">
        <f>SUM(J32:M32)</f>
        <v>70000</v>
      </c>
    </row>
    <row r="33" spans="1:15" s="19" customFormat="1" ht="29.25" customHeight="1">
      <c r="A33" s="364" t="s">
        <v>320</v>
      </c>
      <c r="B33" s="383" t="s">
        <v>289</v>
      </c>
      <c r="C33" s="385" t="s">
        <v>167</v>
      </c>
      <c r="D33" s="365">
        <v>2011</v>
      </c>
      <c r="E33" s="365">
        <v>2012</v>
      </c>
      <c r="F33" s="365">
        <v>900</v>
      </c>
      <c r="G33" s="365">
        <v>90001</v>
      </c>
      <c r="H33" s="365">
        <v>6050</v>
      </c>
      <c r="I33" s="377">
        <v>51000</v>
      </c>
      <c r="J33" s="377">
        <v>50000</v>
      </c>
      <c r="K33" s="378"/>
      <c r="L33" s="379"/>
      <c r="M33" s="379"/>
      <c r="N33" s="379"/>
      <c r="O33" s="191">
        <f t="shared" si="5"/>
        <v>50000</v>
      </c>
    </row>
    <row r="34" spans="1:17" s="39" customFormat="1" ht="30.75" customHeight="1">
      <c r="A34" s="400" t="s">
        <v>173</v>
      </c>
      <c r="B34" s="401" t="s">
        <v>174</v>
      </c>
      <c r="C34" s="359" t="s">
        <v>164</v>
      </c>
      <c r="D34" s="359">
        <v>2009</v>
      </c>
      <c r="E34" s="359">
        <v>2015</v>
      </c>
      <c r="F34" s="621" t="s">
        <v>239</v>
      </c>
      <c r="G34" s="621"/>
      <c r="H34" s="621"/>
      <c r="I34" s="193">
        <f aca="true" t="shared" si="6" ref="I34:O34">SUM(I35:I38,I44:I49)</f>
        <v>13531430</v>
      </c>
      <c r="J34" s="193">
        <f t="shared" si="6"/>
        <v>1706000</v>
      </c>
      <c r="K34" s="193">
        <f t="shared" si="6"/>
        <v>4245000</v>
      </c>
      <c r="L34" s="193">
        <f t="shared" si="6"/>
        <v>4540000</v>
      </c>
      <c r="M34" s="193">
        <f t="shared" si="6"/>
        <v>2800000</v>
      </c>
      <c r="N34" s="193">
        <f t="shared" si="6"/>
        <v>0</v>
      </c>
      <c r="O34" s="193">
        <f t="shared" si="6"/>
        <v>13291000</v>
      </c>
      <c r="P34" s="45" t="e">
        <f>L34+K34+J34+#REF!</f>
        <v>#REF!</v>
      </c>
      <c r="Q34" s="45" t="e">
        <f>P34-O34</f>
        <v>#REF!</v>
      </c>
    </row>
    <row r="35" spans="1:17" s="39" customFormat="1" ht="38.25" customHeight="1">
      <c r="A35" s="173" t="s">
        <v>175</v>
      </c>
      <c r="B35" s="222" t="s">
        <v>199</v>
      </c>
      <c r="C35" s="390" t="s">
        <v>177</v>
      </c>
      <c r="D35" s="390">
        <v>2011</v>
      </c>
      <c r="E35" s="390">
        <v>2014</v>
      </c>
      <c r="F35" s="390">
        <v>700</v>
      </c>
      <c r="G35" s="390">
        <v>70005</v>
      </c>
      <c r="H35" s="390">
        <v>6050</v>
      </c>
      <c r="I35" s="56">
        <v>2543000</v>
      </c>
      <c r="J35" s="56">
        <v>97000</v>
      </c>
      <c r="K35" s="56">
        <v>445000</v>
      </c>
      <c r="L35" s="176">
        <v>2000000</v>
      </c>
      <c r="M35" s="391">
        <v>0</v>
      </c>
      <c r="N35" s="391">
        <v>0</v>
      </c>
      <c r="O35" s="165">
        <f>SUM(J35:M35)</f>
        <v>2542000</v>
      </c>
      <c r="P35" s="45"/>
      <c r="Q35" s="45"/>
    </row>
    <row r="36" spans="1:16" s="39" customFormat="1" ht="27" customHeight="1">
      <c r="A36" s="203" t="s">
        <v>178</v>
      </c>
      <c r="B36" s="494" t="s">
        <v>233</v>
      </c>
      <c r="C36" s="505" t="s">
        <v>177</v>
      </c>
      <c r="D36" s="505">
        <v>2011</v>
      </c>
      <c r="E36" s="505">
        <v>2013</v>
      </c>
      <c r="F36" s="177">
        <v>852</v>
      </c>
      <c r="G36" s="177">
        <v>85219</v>
      </c>
      <c r="H36" s="177">
        <v>6050</v>
      </c>
      <c r="I36" s="178">
        <v>1370070</v>
      </c>
      <c r="J36" s="178">
        <v>800000</v>
      </c>
      <c r="K36" s="180">
        <v>500000</v>
      </c>
      <c r="L36" s="180"/>
      <c r="M36" s="180"/>
      <c r="N36" s="180"/>
      <c r="O36" s="181">
        <f>SUM(J36:M36)</f>
        <v>1300000</v>
      </c>
      <c r="P36" s="45"/>
    </row>
    <row r="37" spans="1:16" s="39" customFormat="1" ht="24.75" customHeight="1">
      <c r="A37" s="173" t="s">
        <v>180</v>
      </c>
      <c r="B37" s="384" t="s">
        <v>259</v>
      </c>
      <c r="C37" s="390" t="s">
        <v>177</v>
      </c>
      <c r="D37" s="390">
        <v>2011</v>
      </c>
      <c r="E37" s="390">
        <v>2012</v>
      </c>
      <c r="F37" s="390">
        <v>900</v>
      </c>
      <c r="G37" s="390">
        <v>90015</v>
      </c>
      <c r="H37" s="390">
        <v>6050</v>
      </c>
      <c r="I37" s="56">
        <v>73500</v>
      </c>
      <c r="J37" s="56">
        <v>65000</v>
      </c>
      <c r="K37" s="176"/>
      <c r="L37" s="391">
        <v>0</v>
      </c>
      <c r="M37" s="391">
        <v>0</v>
      </c>
      <c r="N37" s="391">
        <v>0</v>
      </c>
      <c r="O37" s="165">
        <f>SUM(J37:M37)</f>
        <v>65000</v>
      </c>
      <c r="P37" s="45"/>
    </row>
    <row r="38" spans="1:16" s="39" customFormat="1" ht="36" customHeight="1">
      <c r="A38" s="196" t="s">
        <v>182</v>
      </c>
      <c r="B38" s="410" t="s">
        <v>251</v>
      </c>
      <c r="C38" s="174" t="s">
        <v>177</v>
      </c>
      <c r="D38" s="174">
        <v>2011</v>
      </c>
      <c r="E38" s="174">
        <v>2012</v>
      </c>
      <c r="F38" s="174">
        <v>900</v>
      </c>
      <c r="G38" s="174">
        <v>90015</v>
      </c>
      <c r="H38" s="174">
        <v>6050</v>
      </c>
      <c r="I38" s="194">
        <v>10000</v>
      </c>
      <c r="J38" s="194">
        <v>9000</v>
      </c>
      <c r="K38" s="372"/>
      <c r="L38" s="195">
        <v>0</v>
      </c>
      <c r="M38" s="195">
        <v>0</v>
      </c>
      <c r="N38" s="195">
        <v>0</v>
      </c>
      <c r="O38" s="373">
        <f>SUM(J38:M38)</f>
        <v>9000</v>
      </c>
      <c r="P38" s="45"/>
    </row>
    <row r="39" spans="1:16" s="39" customFormat="1" ht="9.75" customHeight="1">
      <c r="A39" s="411"/>
      <c r="B39" s="412"/>
      <c r="C39" s="413"/>
      <c r="D39" s="413"/>
      <c r="E39" s="413"/>
      <c r="F39" s="413"/>
      <c r="G39" s="413"/>
      <c r="H39" s="413"/>
      <c r="I39" s="414"/>
      <c r="J39" s="414"/>
      <c r="K39" s="415"/>
      <c r="L39" s="416"/>
      <c r="M39" s="416"/>
      <c r="N39" s="416"/>
      <c r="O39" s="417"/>
      <c r="P39" s="45"/>
    </row>
    <row r="40" spans="1:16" s="39" customFormat="1" ht="6.75" customHeight="1" thickBot="1">
      <c r="A40" s="428"/>
      <c r="B40" s="429"/>
      <c r="C40" s="430"/>
      <c r="D40" s="430"/>
      <c r="E40" s="430"/>
      <c r="F40" s="430"/>
      <c r="G40" s="430"/>
      <c r="H40" s="430"/>
      <c r="I40" s="431"/>
      <c r="J40" s="431"/>
      <c r="K40" s="432"/>
      <c r="L40" s="433"/>
      <c r="M40" s="433"/>
      <c r="N40" s="433"/>
      <c r="O40" s="434"/>
      <c r="P40" s="45"/>
    </row>
    <row r="41" spans="1:16" s="39" customFormat="1" ht="18" customHeight="1">
      <c r="A41" s="610" t="s">
        <v>113</v>
      </c>
      <c r="B41" s="613" t="s">
        <v>146</v>
      </c>
      <c r="C41" s="616" t="s">
        <v>147</v>
      </c>
      <c r="D41" s="619" t="s">
        <v>234</v>
      </c>
      <c r="E41" s="619"/>
      <c r="F41" s="619" t="s">
        <v>148</v>
      </c>
      <c r="G41" s="619"/>
      <c r="H41" s="619"/>
      <c r="I41" s="604" t="s">
        <v>149</v>
      </c>
      <c r="J41" s="604"/>
      <c r="K41" s="604"/>
      <c r="L41" s="604"/>
      <c r="M41" s="604"/>
      <c r="N41" s="604"/>
      <c r="O41" s="605" t="s">
        <v>150</v>
      </c>
      <c r="P41" s="45"/>
    </row>
    <row r="42" spans="1:16" s="39" customFormat="1" ht="14.25" customHeight="1">
      <c r="A42" s="611"/>
      <c r="B42" s="614"/>
      <c r="C42" s="617"/>
      <c r="D42" s="620"/>
      <c r="E42" s="620"/>
      <c r="F42" s="620"/>
      <c r="G42" s="620"/>
      <c r="H42" s="620"/>
      <c r="I42" s="625"/>
      <c r="J42" s="608">
        <v>2012</v>
      </c>
      <c r="K42" s="608">
        <v>2013</v>
      </c>
      <c r="L42" s="608">
        <v>2014</v>
      </c>
      <c r="M42" s="608">
        <v>2015</v>
      </c>
      <c r="N42" s="608">
        <v>2016</v>
      </c>
      <c r="O42" s="606"/>
      <c r="P42" s="45"/>
    </row>
    <row r="43" spans="1:16" s="39" customFormat="1" ht="20.25" customHeight="1" thickBot="1">
      <c r="A43" s="612"/>
      <c r="B43" s="615"/>
      <c r="C43" s="618"/>
      <c r="D43" s="369" t="s">
        <v>151</v>
      </c>
      <c r="E43" s="369" t="s">
        <v>152</v>
      </c>
      <c r="F43" s="369" t="s">
        <v>153</v>
      </c>
      <c r="G43" s="369" t="s">
        <v>154</v>
      </c>
      <c r="H43" s="369" t="s">
        <v>155</v>
      </c>
      <c r="I43" s="626"/>
      <c r="J43" s="609"/>
      <c r="K43" s="609"/>
      <c r="L43" s="609"/>
      <c r="M43" s="609"/>
      <c r="N43" s="609"/>
      <c r="O43" s="607"/>
      <c r="P43" s="45"/>
    </row>
    <row r="44" spans="1:16" s="39" customFormat="1" ht="33" customHeight="1">
      <c r="A44" s="173" t="s">
        <v>235</v>
      </c>
      <c r="B44" s="222" t="s">
        <v>236</v>
      </c>
      <c r="C44" s="390" t="s">
        <v>177</v>
      </c>
      <c r="D44" s="390">
        <v>2011</v>
      </c>
      <c r="E44" s="390">
        <v>2012</v>
      </c>
      <c r="F44" s="390">
        <v>900</v>
      </c>
      <c r="G44" s="390">
        <v>90015</v>
      </c>
      <c r="H44" s="390">
        <v>6050</v>
      </c>
      <c r="I44" s="56">
        <v>15000</v>
      </c>
      <c r="J44" s="56">
        <v>10000</v>
      </c>
      <c r="K44" s="176"/>
      <c r="L44" s="391">
        <v>0</v>
      </c>
      <c r="M44" s="391">
        <v>0</v>
      </c>
      <c r="N44" s="391">
        <v>0</v>
      </c>
      <c r="O44" s="165">
        <f aca="true" t="shared" si="7" ref="O44:O49">SUM(J44:M44)</f>
        <v>10000</v>
      </c>
      <c r="P44" s="45"/>
    </row>
    <row r="45" spans="1:16" s="39" customFormat="1" ht="40.5" customHeight="1">
      <c r="A45" s="173" t="s">
        <v>237</v>
      </c>
      <c r="B45" s="387" t="s">
        <v>250</v>
      </c>
      <c r="C45" s="390" t="s">
        <v>177</v>
      </c>
      <c r="D45" s="390">
        <v>2011</v>
      </c>
      <c r="E45" s="390">
        <v>2012</v>
      </c>
      <c r="F45" s="390">
        <v>900</v>
      </c>
      <c r="G45" s="390">
        <v>90015</v>
      </c>
      <c r="H45" s="390">
        <v>6050</v>
      </c>
      <c r="I45" s="56">
        <v>6000</v>
      </c>
      <c r="J45" s="56">
        <v>5000</v>
      </c>
      <c r="K45" s="176"/>
      <c r="L45" s="391">
        <v>0</v>
      </c>
      <c r="M45" s="391">
        <v>0</v>
      </c>
      <c r="N45" s="391">
        <v>0</v>
      </c>
      <c r="O45" s="165">
        <f t="shared" si="7"/>
        <v>5000</v>
      </c>
      <c r="P45" s="45"/>
    </row>
    <row r="46" spans="1:15" s="19" customFormat="1" ht="12.75">
      <c r="A46" s="173" t="s">
        <v>238</v>
      </c>
      <c r="B46" s="497" t="s">
        <v>176</v>
      </c>
      <c r="C46" s="495" t="s">
        <v>177</v>
      </c>
      <c r="D46" s="365">
        <v>2010</v>
      </c>
      <c r="E46" s="365">
        <v>2014</v>
      </c>
      <c r="F46" s="495">
        <v>921</v>
      </c>
      <c r="G46" s="495">
        <v>92109</v>
      </c>
      <c r="H46" s="495">
        <v>6050</v>
      </c>
      <c r="I46" s="56">
        <v>1505880</v>
      </c>
      <c r="J46" s="178">
        <v>150000</v>
      </c>
      <c r="K46" s="179">
        <v>1000000</v>
      </c>
      <c r="L46" s="179">
        <v>350000</v>
      </c>
      <c r="M46" s="180"/>
      <c r="N46" s="180"/>
      <c r="O46" s="181">
        <f t="shared" si="7"/>
        <v>1500000</v>
      </c>
    </row>
    <row r="47" spans="1:15" s="19" customFormat="1" ht="12.75" customHeight="1">
      <c r="A47" s="173" t="s">
        <v>248</v>
      </c>
      <c r="B47" s="57" t="s">
        <v>179</v>
      </c>
      <c r="C47" s="495" t="s">
        <v>294</v>
      </c>
      <c r="D47" s="495">
        <v>2010</v>
      </c>
      <c r="E47" s="495">
        <v>2014</v>
      </c>
      <c r="F47" s="495">
        <v>921</v>
      </c>
      <c r="G47" s="495">
        <v>92109</v>
      </c>
      <c r="H47" s="495">
        <v>6050</v>
      </c>
      <c r="I47" s="56">
        <v>3169880</v>
      </c>
      <c r="J47" s="178">
        <v>420000</v>
      </c>
      <c r="K47" s="179">
        <v>800000</v>
      </c>
      <c r="L47" s="179">
        <v>1940000</v>
      </c>
      <c r="M47" s="180"/>
      <c r="N47" s="180"/>
      <c r="O47" s="181">
        <f t="shared" si="7"/>
        <v>3160000</v>
      </c>
    </row>
    <row r="48" spans="1:15" s="19" customFormat="1" ht="15" customHeight="1">
      <c r="A48" s="173" t="s">
        <v>249</v>
      </c>
      <c r="B48" s="57" t="s">
        <v>181</v>
      </c>
      <c r="C48" s="495" t="s">
        <v>177</v>
      </c>
      <c r="D48" s="495">
        <v>2009</v>
      </c>
      <c r="E48" s="495">
        <v>2015</v>
      </c>
      <c r="F48" s="495">
        <v>921</v>
      </c>
      <c r="G48" s="495">
        <v>92109</v>
      </c>
      <c r="H48" s="495">
        <v>6050</v>
      </c>
      <c r="I48" s="56">
        <v>2933220</v>
      </c>
      <c r="J48" s="194"/>
      <c r="K48" s="194"/>
      <c r="L48" s="195"/>
      <c r="M48" s="372">
        <v>2800000</v>
      </c>
      <c r="N48" s="195"/>
      <c r="O48" s="181">
        <f t="shared" si="7"/>
        <v>2800000</v>
      </c>
    </row>
    <row r="49" spans="1:15" s="19" customFormat="1" ht="12.75">
      <c r="A49" s="173" t="s">
        <v>260</v>
      </c>
      <c r="B49" s="57" t="s">
        <v>183</v>
      </c>
      <c r="C49" s="495" t="s">
        <v>177</v>
      </c>
      <c r="D49" s="495">
        <v>2010</v>
      </c>
      <c r="E49" s="495">
        <v>2014</v>
      </c>
      <c r="F49" s="495">
        <v>921</v>
      </c>
      <c r="G49" s="495">
        <v>92109</v>
      </c>
      <c r="H49" s="495">
        <v>6050</v>
      </c>
      <c r="I49" s="56">
        <v>1904880</v>
      </c>
      <c r="J49" s="178">
        <v>150000</v>
      </c>
      <c r="K49" s="179">
        <v>1500000</v>
      </c>
      <c r="L49" s="180">
        <v>250000</v>
      </c>
      <c r="M49" s="180"/>
      <c r="N49" s="180"/>
      <c r="O49" s="181">
        <f t="shared" si="7"/>
        <v>1900000</v>
      </c>
    </row>
    <row r="50" spans="1:15" s="39" customFormat="1" ht="15.75" customHeight="1">
      <c r="A50" s="397" t="s">
        <v>184</v>
      </c>
      <c r="B50" s="398" t="s">
        <v>185</v>
      </c>
      <c r="C50" s="389" t="s">
        <v>164</v>
      </c>
      <c r="D50" s="389">
        <v>2006</v>
      </c>
      <c r="E50" s="389">
        <v>2015</v>
      </c>
      <c r="F50" s="389"/>
      <c r="G50" s="389"/>
      <c r="H50" s="389"/>
      <c r="I50" s="193">
        <f aca="true" t="shared" si="8" ref="I50:O50">I51+I59+I60</f>
        <v>98103122</v>
      </c>
      <c r="J50" s="399">
        <f t="shared" si="8"/>
        <v>27287000</v>
      </c>
      <c r="K50" s="399">
        <f t="shared" si="8"/>
        <v>26700000</v>
      </c>
      <c r="L50" s="399">
        <f t="shared" si="8"/>
        <v>11400000</v>
      </c>
      <c r="M50" s="399">
        <f t="shared" si="8"/>
        <v>29000000</v>
      </c>
      <c r="N50" s="399">
        <f t="shared" si="8"/>
        <v>0</v>
      </c>
      <c r="O50" s="399">
        <f t="shared" si="8"/>
        <v>94387000</v>
      </c>
    </row>
    <row r="51" spans="1:15" s="19" customFormat="1" ht="30" customHeight="1" thickBot="1">
      <c r="A51" s="196" t="s">
        <v>186</v>
      </c>
      <c r="B51" s="192" t="s">
        <v>230</v>
      </c>
      <c r="C51" s="394" t="s">
        <v>167</v>
      </c>
      <c r="D51" s="395">
        <v>2006</v>
      </c>
      <c r="E51" s="395">
        <v>2015</v>
      </c>
      <c r="F51" s="627" t="s">
        <v>168</v>
      </c>
      <c r="G51" s="627"/>
      <c r="H51" s="627"/>
      <c r="I51" s="396">
        <f>SUM(I52:I58)</f>
        <v>95781122</v>
      </c>
      <c r="J51" s="396">
        <f aca="true" t="shared" si="9" ref="J51:O51">SUM(J52:J58)</f>
        <v>26760000</v>
      </c>
      <c r="K51" s="396">
        <f t="shared" si="9"/>
        <v>25000000</v>
      </c>
      <c r="L51" s="396">
        <f t="shared" si="9"/>
        <v>11400000</v>
      </c>
      <c r="M51" s="396">
        <f t="shared" si="9"/>
        <v>29000000</v>
      </c>
      <c r="N51" s="396">
        <f t="shared" si="9"/>
        <v>0</v>
      </c>
      <c r="O51" s="396">
        <f t="shared" si="9"/>
        <v>92160000</v>
      </c>
    </row>
    <row r="52" spans="1:15" s="19" customFormat="1" ht="15" customHeight="1">
      <c r="A52" s="197"/>
      <c r="B52" s="348" t="s">
        <v>187</v>
      </c>
      <c r="C52" s="198"/>
      <c r="D52" s="198"/>
      <c r="E52" s="198"/>
      <c r="F52" s="198">
        <v>801</v>
      </c>
      <c r="G52" s="198">
        <v>80101</v>
      </c>
      <c r="H52" s="198">
        <v>6050</v>
      </c>
      <c r="I52" s="199">
        <v>24821122</v>
      </c>
      <c r="J52" s="199">
        <v>13760000</v>
      </c>
      <c r="K52" s="200">
        <v>7440000</v>
      </c>
      <c r="L52" s="201"/>
      <c r="M52" s="201"/>
      <c r="N52" s="201"/>
      <c r="O52" s="202">
        <f aca="true" t="shared" si="10" ref="O52:O61">SUM(J52:M52)</f>
        <v>21200000</v>
      </c>
    </row>
    <row r="53" spans="1:15" s="19" customFormat="1" ht="15" customHeight="1">
      <c r="A53" s="203"/>
      <c r="B53" s="349" t="s">
        <v>326</v>
      </c>
      <c r="C53" s="182"/>
      <c r="D53" s="182"/>
      <c r="E53" s="182"/>
      <c r="F53" s="182"/>
      <c r="G53" s="182"/>
      <c r="H53" s="182">
        <v>6058</v>
      </c>
      <c r="I53" s="183">
        <f>SUM(J53:K53)</f>
        <v>10000000</v>
      </c>
      <c r="J53" s="183">
        <v>10000000</v>
      </c>
      <c r="K53" s="184"/>
      <c r="L53" s="185"/>
      <c r="M53" s="185"/>
      <c r="N53" s="185"/>
      <c r="O53" s="186">
        <f t="shared" si="10"/>
        <v>10000000</v>
      </c>
    </row>
    <row r="54" spans="1:15" s="19" customFormat="1" ht="15.75" customHeight="1" thickBot="1">
      <c r="A54" s="204"/>
      <c r="B54" s="205"/>
      <c r="C54" s="206"/>
      <c r="D54" s="206"/>
      <c r="E54" s="206"/>
      <c r="F54" s="206"/>
      <c r="G54" s="206"/>
      <c r="H54" s="206">
        <v>6059</v>
      </c>
      <c r="I54" s="207">
        <v>20560000</v>
      </c>
      <c r="J54" s="207">
        <v>3000000</v>
      </c>
      <c r="K54" s="208">
        <v>17560000</v>
      </c>
      <c r="L54" s="209"/>
      <c r="M54" s="209"/>
      <c r="N54" s="209"/>
      <c r="O54" s="210">
        <f t="shared" si="10"/>
        <v>20560000</v>
      </c>
    </row>
    <row r="55" spans="1:15" s="19" customFormat="1" ht="15" customHeight="1">
      <c r="A55" s="197"/>
      <c r="B55" s="496" t="s">
        <v>188</v>
      </c>
      <c r="C55" s="211"/>
      <c r="D55" s="211"/>
      <c r="E55" s="211"/>
      <c r="F55" s="211"/>
      <c r="G55" s="211"/>
      <c r="H55" s="211">
        <v>6058</v>
      </c>
      <c r="I55" s="212">
        <f>SUM(J55:M55)</f>
        <v>4000000</v>
      </c>
      <c r="J55" s="212"/>
      <c r="K55" s="212"/>
      <c r="L55" s="211"/>
      <c r="M55" s="212">
        <v>4000000</v>
      </c>
      <c r="N55" s="213"/>
      <c r="O55" s="214">
        <f t="shared" si="10"/>
        <v>4000000</v>
      </c>
    </row>
    <row r="56" spans="1:15" s="19" customFormat="1" ht="15" customHeight="1" thickBot="1">
      <c r="A56" s="203"/>
      <c r="B56" s="496" t="s">
        <v>295</v>
      </c>
      <c r="C56" s="215"/>
      <c r="D56" s="215"/>
      <c r="E56" s="215"/>
      <c r="F56" s="215"/>
      <c r="G56" s="215"/>
      <c r="H56" s="215">
        <v>6059</v>
      </c>
      <c r="I56" s="216">
        <f>SUM(J56:M56)</f>
        <v>16400000</v>
      </c>
      <c r="J56" s="216"/>
      <c r="K56" s="216"/>
      <c r="L56" s="216">
        <v>6400000</v>
      </c>
      <c r="M56" s="216">
        <v>10000000</v>
      </c>
      <c r="N56" s="217"/>
      <c r="O56" s="218">
        <f t="shared" si="10"/>
        <v>16400000</v>
      </c>
    </row>
    <row r="57" spans="1:15" s="19" customFormat="1" ht="15" customHeight="1">
      <c r="A57" s="197"/>
      <c r="B57" s="508" t="s">
        <v>189</v>
      </c>
      <c r="C57" s="198"/>
      <c r="D57" s="198"/>
      <c r="E57" s="198"/>
      <c r="F57" s="198"/>
      <c r="G57" s="198"/>
      <c r="H57" s="198">
        <v>6058</v>
      </c>
      <c r="I57" s="199">
        <f>SUM(J57:M57)</f>
        <v>5000000</v>
      </c>
      <c r="J57" s="199"/>
      <c r="K57" s="199"/>
      <c r="L57" s="199"/>
      <c r="M57" s="199">
        <v>5000000</v>
      </c>
      <c r="N57" s="201"/>
      <c r="O57" s="202">
        <f t="shared" si="10"/>
        <v>5000000</v>
      </c>
    </row>
    <row r="58" spans="1:15" s="19" customFormat="1" ht="15" customHeight="1" thickBot="1">
      <c r="A58" s="204"/>
      <c r="B58" s="205" t="s">
        <v>296</v>
      </c>
      <c r="C58" s="206"/>
      <c r="D58" s="206"/>
      <c r="E58" s="206"/>
      <c r="F58" s="206"/>
      <c r="G58" s="206"/>
      <c r="H58" s="206">
        <v>6059</v>
      </c>
      <c r="I58" s="207">
        <f>SUM(J58:M58)</f>
        <v>15000000</v>
      </c>
      <c r="J58" s="207"/>
      <c r="K58" s="207"/>
      <c r="L58" s="207">
        <v>5000000</v>
      </c>
      <c r="M58" s="207">
        <v>10000000</v>
      </c>
      <c r="N58" s="209"/>
      <c r="O58" s="210">
        <f t="shared" si="10"/>
        <v>15000000</v>
      </c>
    </row>
    <row r="59" spans="1:15" s="19" customFormat="1" ht="45" customHeight="1">
      <c r="A59" s="173" t="s">
        <v>240</v>
      </c>
      <c r="B59" s="222" t="s">
        <v>306</v>
      </c>
      <c r="C59" s="174" t="s">
        <v>167</v>
      </c>
      <c r="D59" s="371">
        <v>2011</v>
      </c>
      <c r="E59" s="371">
        <v>2012</v>
      </c>
      <c r="F59" s="371">
        <v>801</v>
      </c>
      <c r="G59" s="371">
        <v>80101</v>
      </c>
      <c r="H59" s="371">
        <v>6050</v>
      </c>
      <c r="I59" s="56">
        <v>225000</v>
      </c>
      <c r="J59" s="56">
        <v>220000</v>
      </c>
      <c r="K59" s="176"/>
      <c r="L59" s="370">
        <v>0</v>
      </c>
      <c r="M59" s="370">
        <v>0</v>
      </c>
      <c r="N59" s="370">
        <v>0</v>
      </c>
      <c r="O59" s="165">
        <f t="shared" si="10"/>
        <v>220000</v>
      </c>
    </row>
    <row r="60" spans="1:15" s="19" customFormat="1" ht="23.25" customHeight="1">
      <c r="A60" s="196" t="s">
        <v>241</v>
      </c>
      <c r="B60" s="393" t="s">
        <v>200</v>
      </c>
      <c r="C60" s="174" t="s">
        <v>167</v>
      </c>
      <c r="D60" s="174">
        <v>2010</v>
      </c>
      <c r="E60" s="174">
        <v>2013</v>
      </c>
      <c r="F60" s="174">
        <v>801</v>
      </c>
      <c r="G60" s="174">
        <v>80104</v>
      </c>
      <c r="H60" s="174">
        <v>6050</v>
      </c>
      <c r="I60" s="194">
        <v>2097000</v>
      </c>
      <c r="J60" s="194">
        <v>307000</v>
      </c>
      <c r="K60" s="372">
        <v>1700000</v>
      </c>
      <c r="L60" s="195">
        <v>0</v>
      </c>
      <c r="M60" s="195">
        <v>0</v>
      </c>
      <c r="N60" s="195">
        <v>0</v>
      </c>
      <c r="O60" s="373">
        <f t="shared" si="10"/>
        <v>2007000</v>
      </c>
    </row>
    <row r="61" spans="1:23" s="43" customFormat="1" ht="33.75" customHeight="1">
      <c r="A61" s="166" t="s">
        <v>117</v>
      </c>
      <c r="B61" s="167" t="s">
        <v>190</v>
      </c>
      <c r="C61" s="374"/>
      <c r="D61" s="374" t="s">
        <v>82</v>
      </c>
      <c r="E61" s="374" t="s">
        <v>82</v>
      </c>
      <c r="F61" s="374"/>
      <c r="G61" s="374"/>
      <c r="H61" s="374"/>
      <c r="I61" s="169">
        <f>I62</f>
        <v>22654560</v>
      </c>
      <c r="J61" s="169">
        <f>J62</f>
        <v>10352448</v>
      </c>
      <c r="K61" s="169">
        <f>K62</f>
        <v>7914200</v>
      </c>
      <c r="L61" s="510">
        <f>L62</f>
        <v>1700000</v>
      </c>
      <c r="M61" s="375">
        <v>0</v>
      </c>
      <c r="N61" s="375">
        <v>0</v>
      </c>
      <c r="O61" s="376">
        <f t="shared" si="10"/>
        <v>19966648</v>
      </c>
      <c r="P61" s="19"/>
      <c r="Q61" s="19"/>
      <c r="R61" s="19"/>
      <c r="S61" s="19"/>
      <c r="T61" s="19"/>
      <c r="U61" s="19"/>
      <c r="V61" s="19"/>
      <c r="W61" s="19"/>
    </row>
    <row r="62" spans="1:16" s="46" customFormat="1" ht="15.75">
      <c r="A62" s="219"/>
      <c r="B62" s="220" t="s">
        <v>158</v>
      </c>
      <c r="C62" s="221"/>
      <c r="D62" s="221" t="s">
        <v>82</v>
      </c>
      <c r="E62" s="221" t="s">
        <v>82</v>
      </c>
      <c r="F62" s="221"/>
      <c r="G62" s="221"/>
      <c r="H62" s="221"/>
      <c r="I62" s="176">
        <f>I63</f>
        <v>22654560</v>
      </c>
      <c r="J62" s="176">
        <f aca="true" t="shared" si="11" ref="J62:O62">J63</f>
        <v>10352448</v>
      </c>
      <c r="K62" s="176">
        <f t="shared" si="11"/>
        <v>7914200</v>
      </c>
      <c r="L62" s="176">
        <f t="shared" si="11"/>
        <v>1700000</v>
      </c>
      <c r="M62" s="176">
        <f t="shared" si="11"/>
        <v>0</v>
      </c>
      <c r="N62" s="176">
        <f t="shared" si="11"/>
        <v>0</v>
      </c>
      <c r="O62" s="176">
        <f t="shared" si="11"/>
        <v>19966648</v>
      </c>
      <c r="P62" s="355">
        <f>J61+K61+L61</f>
        <v>19966648</v>
      </c>
    </row>
    <row r="63" spans="1:16" s="46" customFormat="1" ht="19.5" customHeight="1">
      <c r="A63" s="406" t="s">
        <v>191</v>
      </c>
      <c r="B63" s="407" t="s">
        <v>192</v>
      </c>
      <c r="C63" s="408" t="s">
        <v>164</v>
      </c>
      <c r="D63" s="389">
        <v>2009</v>
      </c>
      <c r="E63" s="389">
        <v>2014</v>
      </c>
      <c r="F63" s="399"/>
      <c r="G63" s="399"/>
      <c r="H63" s="399"/>
      <c r="I63" s="399">
        <f aca="true" t="shared" si="12" ref="I63:O63">SUM(I64:I77,I78:I80)</f>
        <v>22654560</v>
      </c>
      <c r="J63" s="399">
        <f t="shared" si="12"/>
        <v>10352448</v>
      </c>
      <c r="K63" s="399">
        <f t="shared" si="12"/>
        <v>7914200</v>
      </c>
      <c r="L63" s="399">
        <f t="shared" si="12"/>
        <v>1700000</v>
      </c>
      <c r="M63" s="399">
        <f t="shared" si="12"/>
        <v>0</v>
      </c>
      <c r="N63" s="399">
        <f t="shared" si="12"/>
        <v>0</v>
      </c>
      <c r="O63" s="399">
        <f t="shared" si="12"/>
        <v>19966648</v>
      </c>
      <c r="P63" s="355">
        <f>SUM(O64:O80)</f>
        <v>19966648</v>
      </c>
    </row>
    <row r="64" spans="1:16" s="46" customFormat="1" ht="25.5" customHeight="1">
      <c r="A64" s="498" t="s">
        <v>193</v>
      </c>
      <c r="B64" s="499" t="s">
        <v>290</v>
      </c>
      <c r="C64" s="390" t="s">
        <v>177</v>
      </c>
      <c r="D64" s="390">
        <v>2011</v>
      </c>
      <c r="E64" s="390">
        <v>2012</v>
      </c>
      <c r="F64" s="56">
        <v>600</v>
      </c>
      <c r="G64" s="56" t="s">
        <v>194</v>
      </c>
      <c r="H64" s="56">
        <v>6050</v>
      </c>
      <c r="I64" s="56">
        <v>46018</v>
      </c>
      <c r="J64" s="56">
        <v>45018</v>
      </c>
      <c r="K64" s="176"/>
      <c r="L64" s="176"/>
      <c r="M64" s="176"/>
      <c r="N64" s="176"/>
      <c r="O64" s="165">
        <f aca="true" t="shared" si="13" ref="O64:O79">SUM(J64:M64)</f>
        <v>45018</v>
      </c>
      <c r="P64" s="355" t="e">
        <f>#REF!+J63+K63</f>
        <v>#REF!</v>
      </c>
    </row>
    <row r="65" spans="1:15" s="46" customFormat="1" ht="24">
      <c r="A65" s="498" t="s">
        <v>195</v>
      </c>
      <c r="B65" s="500" t="s">
        <v>253</v>
      </c>
      <c r="C65" s="390" t="s">
        <v>177</v>
      </c>
      <c r="D65" s="390">
        <v>2009</v>
      </c>
      <c r="E65" s="390">
        <v>2013</v>
      </c>
      <c r="F65" s="56">
        <v>600</v>
      </c>
      <c r="G65" s="56" t="s">
        <v>194</v>
      </c>
      <c r="H65" s="56">
        <v>6050</v>
      </c>
      <c r="I65" s="56">
        <v>8541532</v>
      </c>
      <c r="J65" s="56">
        <v>3500000</v>
      </c>
      <c r="K65" s="56">
        <v>4695200</v>
      </c>
      <c r="L65" s="176"/>
      <c r="M65" s="176"/>
      <c r="N65" s="176"/>
      <c r="O65" s="165">
        <f t="shared" si="13"/>
        <v>8195200</v>
      </c>
    </row>
    <row r="66" spans="1:15" s="46" customFormat="1" ht="24">
      <c r="A66" s="498" t="s">
        <v>196</v>
      </c>
      <c r="B66" s="501" t="s">
        <v>310</v>
      </c>
      <c r="C66" s="390" t="s">
        <v>177</v>
      </c>
      <c r="D66" s="390">
        <v>2009</v>
      </c>
      <c r="E66" s="390">
        <v>2014</v>
      </c>
      <c r="F66" s="56">
        <v>600</v>
      </c>
      <c r="G66" s="56" t="s">
        <v>194</v>
      </c>
      <c r="H66" s="56">
        <v>6050</v>
      </c>
      <c r="I66" s="56">
        <v>1060269</v>
      </c>
      <c r="J66" s="56">
        <v>10000</v>
      </c>
      <c r="K66" s="176">
        <v>200000</v>
      </c>
      <c r="L66" s="176">
        <v>700000</v>
      </c>
      <c r="M66" s="176"/>
      <c r="N66" s="176"/>
      <c r="O66" s="165">
        <f t="shared" si="13"/>
        <v>910000</v>
      </c>
    </row>
    <row r="67" spans="1:15" s="46" customFormat="1" ht="24">
      <c r="A67" s="498" t="s">
        <v>198</v>
      </c>
      <c r="B67" s="383" t="s">
        <v>261</v>
      </c>
      <c r="C67" s="390" t="s">
        <v>177</v>
      </c>
      <c r="D67" s="390">
        <v>2009</v>
      </c>
      <c r="E67" s="390">
        <v>2012</v>
      </c>
      <c r="F67" s="56">
        <v>600</v>
      </c>
      <c r="G67" s="56" t="s">
        <v>194</v>
      </c>
      <c r="H67" s="56">
        <v>6050</v>
      </c>
      <c r="I67" s="56">
        <v>398315</v>
      </c>
      <c r="J67" s="56">
        <v>375000</v>
      </c>
      <c r="K67" s="56"/>
      <c r="L67" s="176"/>
      <c r="M67" s="176"/>
      <c r="N67" s="176"/>
      <c r="O67" s="165">
        <f t="shared" si="13"/>
        <v>375000</v>
      </c>
    </row>
    <row r="68" spans="1:15" s="46" customFormat="1" ht="14.25" customHeight="1">
      <c r="A68" s="498" t="s">
        <v>262</v>
      </c>
      <c r="B68" s="384" t="s">
        <v>298</v>
      </c>
      <c r="C68" s="495" t="s">
        <v>177</v>
      </c>
      <c r="D68" s="495">
        <v>2012</v>
      </c>
      <c r="E68" s="495">
        <v>2013</v>
      </c>
      <c r="F68" s="56">
        <v>600</v>
      </c>
      <c r="G68" s="56">
        <v>60016</v>
      </c>
      <c r="H68" s="56">
        <v>6050</v>
      </c>
      <c r="I68" s="56">
        <v>110000</v>
      </c>
      <c r="J68" s="56">
        <v>10000</v>
      </c>
      <c r="K68" s="56">
        <v>100000</v>
      </c>
      <c r="L68" s="176"/>
      <c r="M68" s="176"/>
      <c r="N68" s="176"/>
      <c r="O68" s="165">
        <f t="shared" si="13"/>
        <v>110000</v>
      </c>
    </row>
    <row r="69" spans="1:15" s="46" customFormat="1" ht="15" customHeight="1">
      <c r="A69" s="498" t="s">
        <v>252</v>
      </c>
      <c r="B69" s="502" t="s">
        <v>335</v>
      </c>
      <c r="C69" s="390" t="s">
        <v>177</v>
      </c>
      <c r="D69" s="390">
        <v>2011</v>
      </c>
      <c r="E69" s="390">
        <v>2012</v>
      </c>
      <c r="F69" s="56">
        <v>600</v>
      </c>
      <c r="G69" s="56">
        <v>60016</v>
      </c>
      <c r="H69" s="56">
        <v>6050</v>
      </c>
      <c r="I69" s="56">
        <v>65000</v>
      </c>
      <c r="J69" s="56">
        <v>60000</v>
      </c>
      <c r="K69" s="176"/>
      <c r="L69" s="176"/>
      <c r="M69" s="176"/>
      <c r="N69" s="176"/>
      <c r="O69" s="165">
        <f t="shared" si="13"/>
        <v>60000</v>
      </c>
    </row>
    <row r="70" spans="1:15" s="46" customFormat="1" ht="14.25" customHeight="1">
      <c r="A70" s="498" t="s">
        <v>254</v>
      </c>
      <c r="B70" s="383" t="s">
        <v>328</v>
      </c>
      <c r="C70" s="390" t="s">
        <v>177</v>
      </c>
      <c r="D70" s="390">
        <v>2011</v>
      </c>
      <c r="E70" s="390">
        <v>2012</v>
      </c>
      <c r="F70" s="56">
        <v>600</v>
      </c>
      <c r="G70" s="56" t="s">
        <v>194</v>
      </c>
      <c r="H70" s="56">
        <v>6050</v>
      </c>
      <c r="I70" s="56">
        <v>463000</v>
      </c>
      <c r="J70" s="56">
        <v>387000</v>
      </c>
      <c r="K70" s="56"/>
      <c r="L70" s="176"/>
      <c r="M70" s="176"/>
      <c r="N70" s="176"/>
      <c r="O70" s="165">
        <f t="shared" si="13"/>
        <v>387000</v>
      </c>
    </row>
    <row r="71" spans="1:15" s="46" customFormat="1" ht="14.25" customHeight="1">
      <c r="A71" s="498" t="s">
        <v>263</v>
      </c>
      <c r="B71" s="383" t="s">
        <v>311</v>
      </c>
      <c r="C71" s="495" t="s">
        <v>177</v>
      </c>
      <c r="D71" s="495">
        <v>2012</v>
      </c>
      <c r="E71" s="495">
        <v>2013</v>
      </c>
      <c r="F71" s="56">
        <v>600</v>
      </c>
      <c r="G71" s="56" t="s">
        <v>194</v>
      </c>
      <c r="H71" s="56">
        <v>6050</v>
      </c>
      <c r="I71" s="56">
        <v>905000</v>
      </c>
      <c r="J71" s="56">
        <v>300000</v>
      </c>
      <c r="K71" s="194">
        <v>605000</v>
      </c>
      <c r="L71" s="372"/>
      <c r="M71" s="372"/>
      <c r="N71" s="372"/>
      <c r="O71" s="165">
        <f t="shared" si="13"/>
        <v>905000</v>
      </c>
    </row>
    <row r="72" spans="1:15" s="46" customFormat="1" ht="16.5" customHeight="1">
      <c r="A72" s="498" t="s">
        <v>264</v>
      </c>
      <c r="B72" s="383" t="s">
        <v>312</v>
      </c>
      <c r="C72" s="495" t="s">
        <v>177</v>
      </c>
      <c r="D72" s="495">
        <v>2012</v>
      </c>
      <c r="E72" s="495">
        <v>2013</v>
      </c>
      <c r="F72" s="56">
        <v>600</v>
      </c>
      <c r="G72" s="56" t="s">
        <v>194</v>
      </c>
      <c r="H72" s="56">
        <v>6050</v>
      </c>
      <c r="I72" s="56">
        <v>840000</v>
      </c>
      <c r="J72" s="56">
        <v>300000</v>
      </c>
      <c r="K72" s="194">
        <v>540000</v>
      </c>
      <c r="L72" s="372"/>
      <c r="M72" s="372"/>
      <c r="N72" s="372"/>
      <c r="O72" s="165">
        <f t="shared" si="13"/>
        <v>840000</v>
      </c>
    </row>
    <row r="73" spans="1:15" s="46" customFormat="1" ht="16.5" customHeight="1">
      <c r="A73" s="498" t="s">
        <v>265</v>
      </c>
      <c r="B73" s="383" t="s">
        <v>313</v>
      </c>
      <c r="C73" s="495" t="s">
        <v>177</v>
      </c>
      <c r="D73" s="495">
        <v>2012</v>
      </c>
      <c r="E73" s="495">
        <v>2013</v>
      </c>
      <c r="F73" s="56">
        <v>600</v>
      </c>
      <c r="G73" s="56" t="s">
        <v>194</v>
      </c>
      <c r="H73" s="56">
        <v>6050</v>
      </c>
      <c r="I73" s="56">
        <v>1774000</v>
      </c>
      <c r="J73" s="56">
        <v>600000</v>
      </c>
      <c r="K73" s="194">
        <v>1174000</v>
      </c>
      <c r="L73" s="372"/>
      <c r="M73" s="372"/>
      <c r="N73" s="372"/>
      <c r="O73" s="165">
        <f t="shared" si="13"/>
        <v>1774000</v>
      </c>
    </row>
    <row r="74" spans="1:15" s="46" customFormat="1" ht="16.5" customHeight="1">
      <c r="A74" s="498" t="s">
        <v>297</v>
      </c>
      <c r="B74" s="383" t="s">
        <v>319</v>
      </c>
      <c r="C74" s="495" t="s">
        <v>177</v>
      </c>
      <c r="D74" s="495">
        <v>2012</v>
      </c>
      <c r="E74" s="495">
        <v>2014</v>
      </c>
      <c r="F74" s="56">
        <v>600</v>
      </c>
      <c r="G74" s="56" t="s">
        <v>194</v>
      </c>
      <c r="H74" s="56">
        <v>6050</v>
      </c>
      <c r="I74" s="56">
        <v>1765000</v>
      </c>
      <c r="J74" s="56">
        <v>165000</v>
      </c>
      <c r="K74" s="194">
        <v>600000</v>
      </c>
      <c r="L74" s="372">
        <v>1000000</v>
      </c>
      <c r="M74" s="372"/>
      <c r="N74" s="372"/>
      <c r="O74" s="165">
        <f t="shared" si="13"/>
        <v>1765000</v>
      </c>
    </row>
    <row r="75" spans="1:15" s="46" customFormat="1" ht="24" customHeight="1">
      <c r="A75" s="498" t="s">
        <v>299</v>
      </c>
      <c r="B75" s="383" t="s">
        <v>293</v>
      </c>
      <c r="C75" s="493" t="s">
        <v>177</v>
      </c>
      <c r="D75" s="493">
        <v>2011</v>
      </c>
      <c r="E75" s="493">
        <v>2012</v>
      </c>
      <c r="F75" s="56">
        <v>600</v>
      </c>
      <c r="G75" s="56">
        <v>60016</v>
      </c>
      <c r="H75" s="56">
        <v>6050</v>
      </c>
      <c r="I75" s="56">
        <v>3282171</v>
      </c>
      <c r="J75" s="194">
        <v>1683900</v>
      </c>
      <c r="K75" s="194"/>
      <c r="L75" s="372"/>
      <c r="M75" s="372"/>
      <c r="N75" s="372"/>
      <c r="O75" s="165">
        <f t="shared" si="13"/>
        <v>1683900</v>
      </c>
    </row>
    <row r="76" spans="1:15" s="46" customFormat="1" ht="25.5" customHeight="1">
      <c r="A76" s="498" t="s">
        <v>300</v>
      </c>
      <c r="B76" s="521" t="s">
        <v>327</v>
      </c>
      <c r="C76" s="520" t="s">
        <v>177</v>
      </c>
      <c r="D76" s="520">
        <v>2011</v>
      </c>
      <c r="E76" s="520">
        <v>2012</v>
      </c>
      <c r="F76" s="56">
        <v>600</v>
      </c>
      <c r="G76" s="56">
        <v>60016</v>
      </c>
      <c r="H76" s="56">
        <v>6050</v>
      </c>
      <c r="I76" s="56">
        <v>66000</v>
      </c>
      <c r="J76" s="194">
        <v>65000</v>
      </c>
      <c r="K76" s="194"/>
      <c r="L76" s="372"/>
      <c r="M76" s="372"/>
      <c r="N76" s="372"/>
      <c r="O76" s="165">
        <f>SUM(J76:M76)</f>
        <v>65000</v>
      </c>
    </row>
    <row r="77" spans="1:15" s="46" customFormat="1" ht="16.5" customHeight="1">
      <c r="A77" s="498" t="s">
        <v>301</v>
      </c>
      <c r="B77" s="500" t="s">
        <v>276</v>
      </c>
      <c r="C77" s="495" t="s">
        <v>177</v>
      </c>
      <c r="D77" s="495">
        <v>2011</v>
      </c>
      <c r="E77" s="495">
        <v>2012</v>
      </c>
      <c r="F77" s="56">
        <v>600</v>
      </c>
      <c r="G77" s="56" t="s">
        <v>194</v>
      </c>
      <c r="H77" s="56">
        <v>6050</v>
      </c>
      <c r="I77" s="56">
        <v>927905</v>
      </c>
      <c r="J77" s="56">
        <v>701530</v>
      </c>
      <c r="K77" s="56"/>
      <c r="L77" s="56"/>
      <c r="M77" s="56"/>
      <c r="N77" s="56"/>
      <c r="O77" s="165">
        <f t="shared" si="13"/>
        <v>701530</v>
      </c>
    </row>
    <row r="78" spans="1:15" s="46" customFormat="1" ht="24">
      <c r="A78" s="498" t="s">
        <v>302</v>
      </c>
      <c r="B78" s="503" t="s">
        <v>291</v>
      </c>
      <c r="C78" s="495" t="s">
        <v>177</v>
      </c>
      <c r="D78" s="495">
        <v>2011</v>
      </c>
      <c r="E78" s="495">
        <v>2012</v>
      </c>
      <c r="F78" s="56">
        <v>600</v>
      </c>
      <c r="G78" s="56" t="s">
        <v>194</v>
      </c>
      <c r="H78" s="56">
        <v>6050</v>
      </c>
      <c r="I78" s="56">
        <v>101000</v>
      </c>
      <c r="J78" s="56">
        <v>100000</v>
      </c>
      <c r="K78" s="56"/>
      <c r="L78" s="176"/>
      <c r="M78" s="176"/>
      <c r="N78" s="176"/>
      <c r="O78" s="165">
        <f t="shared" si="13"/>
        <v>100000</v>
      </c>
    </row>
    <row r="79" spans="1:15" s="46" customFormat="1" ht="30.75" customHeight="1">
      <c r="A79" s="498" t="s">
        <v>303</v>
      </c>
      <c r="B79" s="383" t="s">
        <v>278</v>
      </c>
      <c r="C79" s="438" t="s">
        <v>177</v>
      </c>
      <c r="D79" s="438">
        <v>2011</v>
      </c>
      <c r="E79" s="438">
        <v>2012</v>
      </c>
      <c r="F79" s="56">
        <v>600</v>
      </c>
      <c r="G79" s="56" t="s">
        <v>194</v>
      </c>
      <c r="H79" s="56">
        <v>6050</v>
      </c>
      <c r="I79" s="56">
        <v>2050000</v>
      </c>
      <c r="J79" s="56">
        <v>1800000</v>
      </c>
      <c r="K79" s="176"/>
      <c r="L79" s="176"/>
      <c r="M79" s="176"/>
      <c r="N79" s="176"/>
      <c r="O79" s="165">
        <f t="shared" si="13"/>
        <v>1800000</v>
      </c>
    </row>
    <row r="80" spans="1:15" s="46" customFormat="1" ht="16.5" customHeight="1" thickBot="1">
      <c r="A80" s="498" t="s">
        <v>330</v>
      </c>
      <c r="B80" s="502" t="s">
        <v>273</v>
      </c>
      <c r="C80" s="174" t="s">
        <v>177</v>
      </c>
      <c r="D80" s="174">
        <v>2011</v>
      </c>
      <c r="E80" s="174">
        <v>2012</v>
      </c>
      <c r="F80" s="194">
        <v>600</v>
      </c>
      <c r="G80" s="194" t="s">
        <v>194</v>
      </c>
      <c r="H80" s="194">
        <v>6050</v>
      </c>
      <c r="I80" s="194">
        <v>259350</v>
      </c>
      <c r="J80" s="194">
        <v>250000</v>
      </c>
      <c r="K80" s="194"/>
      <c r="L80" s="194"/>
      <c r="M80" s="194"/>
      <c r="N80" s="194"/>
      <c r="O80" s="373">
        <f>SUM(J80:M80)</f>
        <v>250000</v>
      </c>
    </row>
    <row r="81" spans="1:15" s="46" customFormat="1" ht="12.75">
      <c r="A81" s="418"/>
      <c r="B81" s="419"/>
      <c r="C81" s="420"/>
      <c r="D81" s="420"/>
      <c r="E81" s="420"/>
      <c r="F81" s="421"/>
      <c r="G81" s="421"/>
      <c r="H81" s="421"/>
      <c r="I81" s="421"/>
      <c r="J81" s="421"/>
      <c r="K81" s="421"/>
      <c r="L81" s="421"/>
      <c r="M81" s="421"/>
      <c r="N81" s="421"/>
      <c r="O81" s="422"/>
    </row>
    <row r="82" spans="1:15" s="46" customFormat="1" ht="13.5" thickBot="1">
      <c r="A82" s="423"/>
      <c r="B82" s="424"/>
      <c r="C82" s="425"/>
      <c r="D82" s="425"/>
      <c r="E82" s="425"/>
      <c r="F82" s="426"/>
      <c r="G82" s="426"/>
      <c r="H82" s="426"/>
      <c r="I82" s="426"/>
      <c r="J82" s="426"/>
      <c r="K82" s="426"/>
      <c r="L82" s="426"/>
      <c r="M82" s="426"/>
      <c r="N82" s="426"/>
      <c r="O82" s="427"/>
    </row>
    <row r="83" spans="1:15" s="46" customFormat="1" ht="12.75">
      <c r="A83" s="610" t="s">
        <v>113</v>
      </c>
      <c r="B83" s="613" t="s">
        <v>146</v>
      </c>
      <c r="C83" s="616" t="s">
        <v>147</v>
      </c>
      <c r="D83" s="619" t="s">
        <v>234</v>
      </c>
      <c r="E83" s="619"/>
      <c r="F83" s="619" t="s">
        <v>148</v>
      </c>
      <c r="G83" s="619"/>
      <c r="H83" s="619"/>
      <c r="I83" s="604" t="s">
        <v>149</v>
      </c>
      <c r="J83" s="604"/>
      <c r="K83" s="604"/>
      <c r="L83" s="604"/>
      <c r="M83" s="604"/>
      <c r="N83" s="604"/>
      <c r="O83" s="605" t="s">
        <v>150</v>
      </c>
    </row>
    <row r="84" spans="1:15" s="46" customFormat="1" ht="12.75">
      <c r="A84" s="611"/>
      <c r="B84" s="614"/>
      <c r="C84" s="617"/>
      <c r="D84" s="620"/>
      <c r="E84" s="620"/>
      <c r="F84" s="620"/>
      <c r="G84" s="620"/>
      <c r="H84" s="620"/>
      <c r="I84" s="625"/>
      <c r="J84" s="608">
        <v>2012</v>
      </c>
      <c r="K84" s="608">
        <v>2013</v>
      </c>
      <c r="L84" s="608">
        <v>2014</v>
      </c>
      <c r="M84" s="608">
        <v>2015</v>
      </c>
      <c r="N84" s="608">
        <v>2016</v>
      </c>
      <c r="O84" s="606"/>
    </row>
    <row r="85" spans="1:15" s="46" customFormat="1" ht="24" customHeight="1" thickBot="1">
      <c r="A85" s="612"/>
      <c r="B85" s="615"/>
      <c r="C85" s="618"/>
      <c r="D85" s="369" t="s">
        <v>151</v>
      </c>
      <c r="E85" s="369" t="s">
        <v>152</v>
      </c>
      <c r="F85" s="369" t="s">
        <v>153</v>
      </c>
      <c r="G85" s="369" t="s">
        <v>154</v>
      </c>
      <c r="H85" s="369" t="s">
        <v>155</v>
      </c>
      <c r="I85" s="626"/>
      <c r="J85" s="609"/>
      <c r="K85" s="609"/>
      <c r="L85" s="609"/>
      <c r="M85" s="609"/>
      <c r="N85" s="609"/>
      <c r="O85" s="607"/>
    </row>
    <row r="86" spans="1:15" ht="71.25" customHeight="1">
      <c r="A86" s="351" t="s">
        <v>201</v>
      </c>
      <c r="B86" s="367" t="s">
        <v>202</v>
      </c>
      <c r="C86" s="352"/>
      <c r="D86" s="353" t="s">
        <v>82</v>
      </c>
      <c r="E86" s="352" t="s">
        <v>82</v>
      </c>
      <c r="F86" s="352"/>
      <c r="G86" s="352"/>
      <c r="H86" s="352"/>
      <c r="I86" s="350">
        <f aca="true" t="shared" si="14" ref="I86:N86">I87</f>
        <v>16380153</v>
      </c>
      <c r="J86" s="350">
        <f t="shared" si="14"/>
        <v>8318086</v>
      </c>
      <c r="K86" s="350">
        <f t="shared" si="14"/>
        <v>2800928</v>
      </c>
      <c r="L86" s="350">
        <f t="shared" si="14"/>
        <v>2661859</v>
      </c>
      <c r="M86" s="350">
        <f t="shared" si="14"/>
        <v>649000</v>
      </c>
      <c r="N86" s="350">
        <f t="shared" si="14"/>
        <v>526000</v>
      </c>
      <c r="O86" s="356">
        <f>SUM(J86:N86)</f>
        <v>14955873</v>
      </c>
    </row>
    <row r="87" spans="1:16" s="37" customFormat="1" ht="14.25">
      <c r="A87" s="161"/>
      <c r="B87" s="386" t="s">
        <v>157</v>
      </c>
      <c r="C87" s="437"/>
      <c r="D87" s="436" t="s">
        <v>82</v>
      </c>
      <c r="E87" s="223" t="s">
        <v>82</v>
      </c>
      <c r="F87" s="223"/>
      <c r="G87" s="223"/>
      <c r="H87" s="223"/>
      <c r="I87" s="455">
        <f>SUM(I88:I113)</f>
        <v>16380153</v>
      </c>
      <c r="J87" s="455">
        <f>SUM(J88:J92,J93:J113)</f>
        <v>8318086</v>
      </c>
      <c r="K87" s="455">
        <f>SUM(K88:K92,K93:K113)</f>
        <v>2800928</v>
      </c>
      <c r="L87" s="455">
        <f>SUM(L88:L92,L93:L113)</f>
        <v>2661859</v>
      </c>
      <c r="M87" s="455">
        <f>SUM(M88:M92,M93:M113)</f>
        <v>649000</v>
      </c>
      <c r="N87" s="455">
        <f>SUM(N88:N92,N93:N113)</f>
        <v>526000</v>
      </c>
      <c r="O87" s="456">
        <f>SUM(J87:N87)</f>
        <v>14955873</v>
      </c>
      <c r="P87" s="354">
        <f>SUM(O88:O113)</f>
        <v>14955873</v>
      </c>
    </row>
    <row r="88" spans="1:16" ht="12.75">
      <c r="A88" s="137" t="s">
        <v>160</v>
      </c>
      <c r="B88" s="388" t="s">
        <v>266</v>
      </c>
      <c r="C88" s="438" t="s">
        <v>177</v>
      </c>
      <c r="D88" s="436">
        <v>2011</v>
      </c>
      <c r="E88" s="436">
        <v>2012</v>
      </c>
      <c r="F88" s="436">
        <v>600</v>
      </c>
      <c r="G88" s="436">
        <v>60016</v>
      </c>
      <c r="H88" s="436">
        <v>4270</v>
      </c>
      <c r="I88" s="51">
        <v>3200000</v>
      </c>
      <c r="J88" s="51">
        <v>3000000</v>
      </c>
      <c r="K88" s="51">
        <v>0</v>
      </c>
      <c r="L88" s="51">
        <v>0</v>
      </c>
      <c r="M88" s="51">
        <v>0</v>
      </c>
      <c r="N88" s="51">
        <v>0</v>
      </c>
      <c r="O88" s="165">
        <f aca="true" t="shared" si="15" ref="O88:O94">SUM(J88:M88)</f>
        <v>3000000</v>
      </c>
      <c r="P88" s="14">
        <f>O87-P87</f>
        <v>0</v>
      </c>
    </row>
    <row r="89" spans="1:15" ht="12.75">
      <c r="A89" s="137" t="s">
        <v>117</v>
      </c>
      <c r="B89" s="388" t="s">
        <v>275</v>
      </c>
      <c r="C89" s="438" t="s">
        <v>177</v>
      </c>
      <c r="D89" s="436">
        <v>2011</v>
      </c>
      <c r="E89" s="436">
        <v>2012</v>
      </c>
      <c r="F89" s="436">
        <v>600</v>
      </c>
      <c r="G89" s="436">
        <v>60016</v>
      </c>
      <c r="H89" s="436">
        <v>4300</v>
      </c>
      <c r="I89" s="51">
        <v>600000</v>
      </c>
      <c r="J89" s="51">
        <v>500000</v>
      </c>
      <c r="K89" s="51">
        <v>0</v>
      </c>
      <c r="L89" s="51">
        <v>0</v>
      </c>
      <c r="M89" s="51">
        <v>0</v>
      </c>
      <c r="N89" s="51">
        <v>0</v>
      </c>
      <c r="O89" s="165">
        <f t="shared" si="15"/>
        <v>500000</v>
      </c>
    </row>
    <row r="90" spans="1:15" ht="25.5">
      <c r="A90" s="137" t="s">
        <v>119</v>
      </c>
      <c r="B90" s="388" t="s">
        <v>243</v>
      </c>
      <c r="C90" s="224" t="s">
        <v>167</v>
      </c>
      <c r="D90" s="512">
        <v>2011</v>
      </c>
      <c r="E90" s="512">
        <v>2012</v>
      </c>
      <c r="F90" s="512">
        <v>600</v>
      </c>
      <c r="G90" s="512">
        <v>60016</v>
      </c>
      <c r="H90" s="512">
        <v>4300</v>
      </c>
      <c r="I90" s="51">
        <v>40626</v>
      </c>
      <c r="J90" s="51">
        <v>20313</v>
      </c>
      <c r="K90" s="51">
        <v>0</v>
      </c>
      <c r="L90" s="51">
        <v>0</v>
      </c>
      <c r="M90" s="51">
        <v>0</v>
      </c>
      <c r="N90" s="51">
        <v>0</v>
      </c>
      <c r="O90" s="165">
        <f t="shared" si="15"/>
        <v>20313</v>
      </c>
    </row>
    <row r="91" spans="1:15" ht="25.5">
      <c r="A91" s="137" t="s">
        <v>121</v>
      </c>
      <c r="B91" s="388" t="s">
        <v>203</v>
      </c>
      <c r="C91" s="438" t="s">
        <v>177</v>
      </c>
      <c r="D91" s="436">
        <v>2011</v>
      </c>
      <c r="E91" s="436">
        <v>2012</v>
      </c>
      <c r="F91" s="436">
        <v>700</v>
      </c>
      <c r="G91" s="436">
        <v>70005</v>
      </c>
      <c r="H91" s="436">
        <v>4400</v>
      </c>
      <c r="I91" s="51">
        <v>44344</v>
      </c>
      <c r="J91" s="51">
        <v>22172</v>
      </c>
      <c r="K91" s="51">
        <v>0</v>
      </c>
      <c r="L91" s="51">
        <v>0</v>
      </c>
      <c r="M91" s="51">
        <v>0</v>
      </c>
      <c r="N91" s="51">
        <v>0</v>
      </c>
      <c r="O91" s="165">
        <f t="shared" si="15"/>
        <v>22172</v>
      </c>
    </row>
    <row r="92" spans="1:15" ht="25.5">
      <c r="A92" s="137" t="s">
        <v>123</v>
      </c>
      <c r="B92" s="388" t="s">
        <v>242</v>
      </c>
      <c r="C92" s="438" t="s">
        <v>177</v>
      </c>
      <c r="D92" s="436">
        <v>2011</v>
      </c>
      <c r="E92" s="436">
        <v>2012</v>
      </c>
      <c r="F92" s="436">
        <v>700</v>
      </c>
      <c r="G92" s="436">
        <v>70005</v>
      </c>
      <c r="H92" s="436">
        <v>4300</v>
      </c>
      <c r="I92" s="51">
        <v>28306</v>
      </c>
      <c r="J92" s="51">
        <v>14153</v>
      </c>
      <c r="K92" s="51">
        <v>0</v>
      </c>
      <c r="L92" s="51">
        <v>0</v>
      </c>
      <c r="M92" s="51">
        <v>0</v>
      </c>
      <c r="N92" s="51">
        <v>0</v>
      </c>
      <c r="O92" s="165">
        <f t="shared" si="15"/>
        <v>14153</v>
      </c>
    </row>
    <row r="93" spans="1:15" ht="38.25">
      <c r="A93" s="137" t="s">
        <v>125</v>
      </c>
      <c r="B93" s="388" t="s">
        <v>244</v>
      </c>
      <c r="C93" s="438" t="s">
        <v>207</v>
      </c>
      <c r="D93" s="436">
        <v>2011</v>
      </c>
      <c r="E93" s="436">
        <v>2013</v>
      </c>
      <c r="F93" s="436">
        <v>700</v>
      </c>
      <c r="G93" s="436">
        <v>70005</v>
      </c>
      <c r="H93" s="436">
        <v>4400</v>
      </c>
      <c r="I93" s="51">
        <v>252000</v>
      </c>
      <c r="J93" s="51">
        <v>108000</v>
      </c>
      <c r="K93" s="51">
        <v>36000</v>
      </c>
      <c r="L93" s="51">
        <v>0</v>
      </c>
      <c r="M93" s="51">
        <v>0</v>
      </c>
      <c r="N93" s="51">
        <v>0</v>
      </c>
      <c r="O93" s="165">
        <f t="shared" si="15"/>
        <v>144000</v>
      </c>
    </row>
    <row r="94" spans="1:15" ht="25.5">
      <c r="A94" s="137" t="s">
        <v>127</v>
      </c>
      <c r="B94" s="388" t="s">
        <v>208</v>
      </c>
      <c r="C94" s="438" t="s">
        <v>207</v>
      </c>
      <c r="D94" s="436">
        <v>2011</v>
      </c>
      <c r="E94" s="436">
        <v>2013</v>
      </c>
      <c r="F94" s="436">
        <v>700</v>
      </c>
      <c r="G94" s="436">
        <v>70005</v>
      </c>
      <c r="H94" s="436">
        <v>4400</v>
      </c>
      <c r="I94" s="51">
        <v>9000</v>
      </c>
      <c r="J94" s="51">
        <v>3600</v>
      </c>
      <c r="K94" s="436">
        <v>1800</v>
      </c>
      <c r="L94" s="51">
        <v>0</v>
      </c>
      <c r="M94" s="51">
        <v>0</v>
      </c>
      <c r="N94" s="51">
        <v>0</v>
      </c>
      <c r="O94" s="165">
        <f t="shared" si="15"/>
        <v>5400</v>
      </c>
    </row>
    <row r="95" spans="1:15" ht="27.75">
      <c r="A95" s="137" t="s">
        <v>129</v>
      </c>
      <c r="B95" s="388" t="s">
        <v>270</v>
      </c>
      <c r="C95" s="438" t="s">
        <v>207</v>
      </c>
      <c r="D95" s="436">
        <v>2011</v>
      </c>
      <c r="E95" s="436">
        <v>2016</v>
      </c>
      <c r="F95" s="436">
        <v>700</v>
      </c>
      <c r="G95" s="436">
        <v>70005</v>
      </c>
      <c r="H95" s="436">
        <v>4400</v>
      </c>
      <c r="I95" s="51">
        <v>1845000</v>
      </c>
      <c r="J95" s="51">
        <v>369000</v>
      </c>
      <c r="K95" s="51">
        <v>369000</v>
      </c>
      <c r="L95" s="51">
        <v>369000</v>
      </c>
      <c r="M95" s="51">
        <v>369000</v>
      </c>
      <c r="N95" s="51">
        <v>246000</v>
      </c>
      <c r="O95" s="165">
        <f>SUM(J95:N95)</f>
        <v>1722000</v>
      </c>
    </row>
    <row r="96" spans="1:15" ht="12.75">
      <c r="A96" s="137" t="s">
        <v>131</v>
      </c>
      <c r="B96" s="388" t="s">
        <v>336</v>
      </c>
      <c r="C96" s="493" t="s">
        <v>177</v>
      </c>
      <c r="D96" s="492">
        <v>2011</v>
      </c>
      <c r="E96" s="492">
        <v>2012</v>
      </c>
      <c r="F96" s="492">
        <v>700</v>
      </c>
      <c r="G96" s="492">
        <v>70005</v>
      </c>
      <c r="H96" s="492">
        <v>4400</v>
      </c>
      <c r="I96" s="51">
        <v>73800</v>
      </c>
      <c r="J96" s="51">
        <v>67650</v>
      </c>
      <c r="K96" s="51"/>
      <c r="L96" s="51"/>
      <c r="M96" s="51"/>
      <c r="N96" s="51"/>
      <c r="O96" s="165">
        <f aca="true" t="shared" si="16" ref="O96:O108">SUM(J96:M96)</f>
        <v>67650</v>
      </c>
    </row>
    <row r="97" spans="1:15" ht="12.75">
      <c r="A97" s="137" t="s">
        <v>134</v>
      </c>
      <c r="B97" s="388" t="s">
        <v>337</v>
      </c>
      <c r="C97" s="513" t="s">
        <v>177</v>
      </c>
      <c r="D97" s="512">
        <v>2011</v>
      </c>
      <c r="E97" s="512">
        <v>2014</v>
      </c>
      <c r="F97" s="512">
        <v>700</v>
      </c>
      <c r="G97" s="512">
        <v>70005</v>
      </c>
      <c r="H97" s="512">
        <v>4400</v>
      </c>
      <c r="I97" s="51">
        <v>345385</v>
      </c>
      <c r="J97" s="507">
        <v>115128</v>
      </c>
      <c r="K97" s="507">
        <v>115128</v>
      </c>
      <c r="L97" s="507">
        <v>97859</v>
      </c>
      <c r="M97" s="507"/>
      <c r="N97" s="51"/>
      <c r="O97" s="165">
        <f>SUM(J97:M97)</f>
        <v>328115</v>
      </c>
    </row>
    <row r="98" spans="1:18" ht="12.75">
      <c r="A98" s="137" t="s">
        <v>138</v>
      </c>
      <c r="B98" s="514" t="s">
        <v>321</v>
      </c>
      <c r="C98" s="513" t="s">
        <v>322</v>
      </c>
      <c r="D98" s="512">
        <v>2011</v>
      </c>
      <c r="E98" s="512">
        <v>2016</v>
      </c>
      <c r="F98" s="512">
        <v>710</v>
      </c>
      <c r="G98" s="512">
        <v>71004</v>
      </c>
      <c r="H98" s="512">
        <v>4300</v>
      </c>
      <c r="I98" s="51">
        <f>O98+101993</f>
        <v>1621185</v>
      </c>
      <c r="J98" s="51">
        <v>399192</v>
      </c>
      <c r="K98" s="51">
        <v>280000</v>
      </c>
      <c r="L98" s="51">
        <v>280000</v>
      </c>
      <c r="M98" s="51">
        <v>280000</v>
      </c>
      <c r="N98" s="51">
        <v>280000</v>
      </c>
      <c r="O98" s="165">
        <f>SUM(J98:N98)</f>
        <v>1519192</v>
      </c>
      <c r="P98" s="51">
        <v>280000</v>
      </c>
      <c r="Q98" s="51"/>
      <c r="R98" s="165">
        <f>SUM(L98:P98)</f>
        <v>2639192</v>
      </c>
    </row>
    <row r="99" spans="1:18" ht="12.75">
      <c r="A99" s="137" t="s">
        <v>140</v>
      </c>
      <c r="B99" s="388" t="s">
        <v>204</v>
      </c>
      <c r="C99" s="513" t="s">
        <v>205</v>
      </c>
      <c r="D99" s="512">
        <v>2011</v>
      </c>
      <c r="E99" s="512">
        <v>2013</v>
      </c>
      <c r="F99" s="512">
        <v>750</v>
      </c>
      <c r="G99" s="512">
        <v>75023</v>
      </c>
      <c r="H99" s="512">
        <v>4300</v>
      </c>
      <c r="I99" s="51">
        <v>549000</v>
      </c>
      <c r="J99" s="507">
        <v>183000</v>
      </c>
      <c r="K99" s="507">
        <v>183000</v>
      </c>
      <c r="L99" s="507">
        <v>0</v>
      </c>
      <c r="M99" s="507">
        <v>0</v>
      </c>
      <c r="N99" s="51">
        <v>0</v>
      </c>
      <c r="O99" s="165">
        <f>SUM(J99:M99)</f>
        <v>366000</v>
      </c>
      <c r="P99" s="515"/>
      <c r="Q99" s="515"/>
      <c r="R99" s="427"/>
    </row>
    <row r="100" spans="1:18" ht="12.75">
      <c r="A100" s="137" t="s">
        <v>142</v>
      </c>
      <c r="B100" s="388" t="s">
        <v>206</v>
      </c>
      <c r="C100" s="513" t="s">
        <v>205</v>
      </c>
      <c r="D100" s="512">
        <v>2011</v>
      </c>
      <c r="E100" s="512">
        <v>2012</v>
      </c>
      <c r="F100" s="512">
        <v>750</v>
      </c>
      <c r="G100" s="512">
        <v>75023</v>
      </c>
      <c r="H100" s="512">
        <v>4300</v>
      </c>
      <c r="I100" s="51">
        <v>8198</v>
      </c>
      <c r="J100" s="516">
        <v>4099</v>
      </c>
      <c r="K100" s="516">
        <v>0</v>
      </c>
      <c r="L100" s="507">
        <v>0</v>
      </c>
      <c r="M100" s="507">
        <v>0</v>
      </c>
      <c r="N100" s="51">
        <v>0</v>
      </c>
      <c r="O100" s="165">
        <f>SUM(J100:M100)</f>
        <v>4099</v>
      </c>
      <c r="P100" s="515"/>
      <c r="Q100" s="515"/>
      <c r="R100" s="427"/>
    </row>
    <row r="101" spans="1:18" ht="25.5">
      <c r="A101" s="137" t="s">
        <v>143</v>
      </c>
      <c r="B101" s="388" t="s">
        <v>245</v>
      </c>
      <c r="C101" s="513" t="s">
        <v>205</v>
      </c>
      <c r="D101" s="512">
        <v>2011</v>
      </c>
      <c r="E101" s="512">
        <v>2012</v>
      </c>
      <c r="F101" s="512">
        <v>750</v>
      </c>
      <c r="G101" s="512">
        <v>75023</v>
      </c>
      <c r="H101" s="512">
        <v>4300</v>
      </c>
      <c r="I101" s="51">
        <v>6360</v>
      </c>
      <c r="J101" s="516">
        <v>3180</v>
      </c>
      <c r="K101" s="516">
        <v>0</v>
      </c>
      <c r="L101" s="507">
        <v>0</v>
      </c>
      <c r="M101" s="507">
        <v>0</v>
      </c>
      <c r="N101" s="51">
        <v>0</v>
      </c>
      <c r="O101" s="165">
        <f>SUM(J101:M101)</f>
        <v>3180</v>
      </c>
      <c r="P101" s="515"/>
      <c r="Q101" s="515"/>
      <c r="R101" s="427"/>
    </row>
    <row r="102" spans="1:18" ht="12.75">
      <c r="A102" s="137" t="s">
        <v>211</v>
      </c>
      <c r="B102" s="514" t="s">
        <v>324</v>
      </c>
      <c r="C102" s="513" t="s">
        <v>205</v>
      </c>
      <c r="D102" s="512">
        <v>2011</v>
      </c>
      <c r="E102" s="512">
        <v>2012</v>
      </c>
      <c r="F102" s="512">
        <v>750</v>
      </c>
      <c r="G102" s="512">
        <v>75023</v>
      </c>
      <c r="H102" s="512">
        <v>4300</v>
      </c>
      <c r="I102" s="51">
        <v>79950</v>
      </c>
      <c r="J102" s="507">
        <v>73800</v>
      </c>
      <c r="K102" s="507"/>
      <c r="L102" s="506"/>
      <c r="M102" s="507"/>
      <c r="N102" s="51"/>
      <c r="O102" s="165">
        <f>SUM(J102:M102)</f>
        <v>73800</v>
      </c>
      <c r="P102" s="515"/>
      <c r="Q102" s="515"/>
      <c r="R102" s="427"/>
    </row>
    <row r="103" spans="1:15" ht="12.75">
      <c r="A103" s="137" t="s">
        <v>281</v>
      </c>
      <c r="B103" s="388" t="s">
        <v>279</v>
      </c>
      <c r="C103" s="440" t="s">
        <v>280</v>
      </c>
      <c r="D103" s="504">
        <v>2011</v>
      </c>
      <c r="E103" s="504">
        <v>2014</v>
      </c>
      <c r="F103" s="439">
        <v>801</v>
      </c>
      <c r="G103" s="439">
        <v>80101</v>
      </c>
      <c r="H103" s="439">
        <v>4260</v>
      </c>
      <c r="I103" s="51">
        <f>SUM(J103:L103)</f>
        <v>1050000</v>
      </c>
      <c r="J103" s="51">
        <v>330000</v>
      </c>
      <c r="K103" s="51">
        <v>350000</v>
      </c>
      <c r="L103" s="51">
        <v>370000</v>
      </c>
      <c r="M103" s="51"/>
      <c r="N103" s="51"/>
      <c r="O103" s="165">
        <f t="shared" si="16"/>
        <v>1050000</v>
      </c>
    </row>
    <row r="104" spans="1:15" ht="12.75">
      <c r="A104" s="137" t="s">
        <v>283</v>
      </c>
      <c r="B104" s="388" t="s">
        <v>279</v>
      </c>
      <c r="C104" s="440" t="s">
        <v>280</v>
      </c>
      <c r="D104" s="504">
        <v>2011</v>
      </c>
      <c r="E104" s="504">
        <v>2014</v>
      </c>
      <c r="F104" s="439">
        <v>801</v>
      </c>
      <c r="G104" s="439">
        <v>80104</v>
      </c>
      <c r="H104" s="439">
        <v>4260</v>
      </c>
      <c r="I104" s="51">
        <f>SUM(J104:L104)</f>
        <v>251000</v>
      </c>
      <c r="J104" s="51">
        <v>78000</v>
      </c>
      <c r="K104" s="51">
        <v>84000</v>
      </c>
      <c r="L104" s="51">
        <v>89000</v>
      </c>
      <c r="M104" s="51"/>
      <c r="N104" s="51"/>
      <c r="O104" s="165">
        <f t="shared" si="16"/>
        <v>251000</v>
      </c>
    </row>
    <row r="105" spans="1:15" ht="12.75">
      <c r="A105" s="137" t="s">
        <v>284</v>
      </c>
      <c r="B105" s="388" t="s">
        <v>279</v>
      </c>
      <c r="C105" s="440" t="s">
        <v>280</v>
      </c>
      <c r="D105" s="504">
        <v>2011</v>
      </c>
      <c r="E105" s="504">
        <v>2014</v>
      </c>
      <c r="F105" s="439">
        <v>801</v>
      </c>
      <c r="G105" s="439">
        <v>80110</v>
      </c>
      <c r="H105" s="439">
        <v>4260</v>
      </c>
      <c r="I105" s="51">
        <f>SUM(J105:L105)</f>
        <v>530000</v>
      </c>
      <c r="J105" s="51">
        <v>160000</v>
      </c>
      <c r="K105" s="51">
        <v>180000</v>
      </c>
      <c r="L105" s="51">
        <v>190000</v>
      </c>
      <c r="M105" s="51"/>
      <c r="N105" s="51"/>
      <c r="O105" s="165">
        <f t="shared" si="16"/>
        <v>530000</v>
      </c>
    </row>
    <row r="106" spans="1:15" ht="12.75">
      <c r="A106" s="137" t="s">
        <v>285</v>
      </c>
      <c r="B106" s="388" t="s">
        <v>279</v>
      </c>
      <c r="C106" s="440" t="s">
        <v>280</v>
      </c>
      <c r="D106" s="504">
        <v>2011</v>
      </c>
      <c r="E106" s="504">
        <v>2014</v>
      </c>
      <c r="F106" s="439">
        <v>801</v>
      </c>
      <c r="G106" s="439">
        <v>80148</v>
      </c>
      <c r="H106" s="439">
        <v>4260</v>
      </c>
      <c r="I106" s="51">
        <f>SUM(J106:L106)</f>
        <v>66000</v>
      </c>
      <c r="J106" s="51">
        <v>18000</v>
      </c>
      <c r="K106" s="51">
        <v>22000</v>
      </c>
      <c r="L106" s="51">
        <v>26000</v>
      </c>
      <c r="M106" s="51"/>
      <c r="N106" s="51"/>
      <c r="O106" s="165">
        <f t="shared" si="16"/>
        <v>66000</v>
      </c>
    </row>
    <row r="107" spans="1:18" ht="25.5">
      <c r="A107" s="137" t="s">
        <v>286</v>
      </c>
      <c r="B107" s="388" t="s">
        <v>315</v>
      </c>
      <c r="C107" s="505" t="s">
        <v>280</v>
      </c>
      <c r="D107" s="504">
        <v>2011</v>
      </c>
      <c r="E107" s="504">
        <v>2012</v>
      </c>
      <c r="F107" s="504">
        <v>801</v>
      </c>
      <c r="G107" s="504">
        <v>80101</v>
      </c>
      <c r="H107" s="504">
        <v>4300</v>
      </c>
      <c r="I107" s="51">
        <v>219696</v>
      </c>
      <c r="J107" s="506">
        <v>131817</v>
      </c>
      <c r="K107" s="507"/>
      <c r="L107" s="506"/>
      <c r="M107" s="51"/>
      <c r="N107" s="51"/>
      <c r="O107" s="165">
        <f t="shared" si="16"/>
        <v>131817</v>
      </c>
      <c r="P107" s="51"/>
      <c r="Q107" s="51"/>
      <c r="R107" s="165">
        <f>SUM(L107:P107)</f>
        <v>131817</v>
      </c>
    </row>
    <row r="108" spans="1:18" ht="25.5">
      <c r="A108" s="137" t="s">
        <v>287</v>
      </c>
      <c r="B108" s="388" t="s">
        <v>316</v>
      </c>
      <c r="C108" s="505" t="s">
        <v>280</v>
      </c>
      <c r="D108" s="504">
        <v>2011</v>
      </c>
      <c r="E108" s="504">
        <v>2012</v>
      </c>
      <c r="F108" s="504">
        <v>801</v>
      </c>
      <c r="G108" s="504">
        <v>80101</v>
      </c>
      <c r="H108" s="504">
        <v>4300</v>
      </c>
      <c r="I108" s="51">
        <v>978303</v>
      </c>
      <c r="J108" s="506">
        <v>586982</v>
      </c>
      <c r="K108" s="507"/>
      <c r="L108" s="506"/>
      <c r="M108" s="51"/>
      <c r="N108" s="51"/>
      <c r="O108" s="165">
        <f t="shared" si="16"/>
        <v>586982</v>
      </c>
      <c r="P108" s="51"/>
      <c r="Q108" s="51"/>
      <c r="R108" s="165">
        <f>SUM(L108:P108)</f>
        <v>586982</v>
      </c>
    </row>
    <row r="109" spans="1:15" ht="12.75">
      <c r="A109" s="137" t="s">
        <v>308</v>
      </c>
      <c r="B109" s="388" t="s">
        <v>274</v>
      </c>
      <c r="C109" s="493" t="s">
        <v>292</v>
      </c>
      <c r="D109" s="504">
        <v>2011</v>
      </c>
      <c r="E109" s="504">
        <v>2014</v>
      </c>
      <c r="F109" s="436">
        <v>900</v>
      </c>
      <c r="G109" s="436">
        <v>90002</v>
      </c>
      <c r="H109" s="436">
        <v>4300</v>
      </c>
      <c r="I109" s="51">
        <v>572000</v>
      </c>
      <c r="J109" s="51">
        <v>200000</v>
      </c>
      <c r="K109" s="51">
        <v>180000</v>
      </c>
      <c r="L109" s="51">
        <v>190000</v>
      </c>
      <c r="M109" s="51"/>
      <c r="N109" s="51">
        <v>0</v>
      </c>
      <c r="O109" s="165">
        <f>SUM(J109:M109)</f>
        <v>570000</v>
      </c>
    </row>
    <row r="110" spans="1:15" ht="12.75">
      <c r="A110" s="137" t="s">
        <v>309</v>
      </c>
      <c r="B110" s="388" t="s">
        <v>268</v>
      </c>
      <c r="C110" s="493" t="s">
        <v>177</v>
      </c>
      <c r="D110" s="436">
        <v>2011</v>
      </c>
      <c r="E110" s="436">
        <v>2012</v>
      </c>
      <c r="F110" s="436">
        <v>900</v>
      </c>
      <c r="G110" s="436">
        <v>90003</v>
      </c>
      <c r="H110" s="436">
        <v>4300</v>
      </c>
      <c r="I110" s="51">
        <v>506000</v>
      </c>
      <c r="J110" s="51">
        <v>500000</v>
      </c>
      <c r="K110" s="51"/>
      <c r="L110" s="51"/>
      <c r="M110" s="51"/>
      <c r="N110" s="51">
        <v>0</v>
      </c>
      <c r="O110" s="165">
        <f>SUM(J110:M110)</f>
        <v>500000</v>
      </c>
    </row>
    <row r="111" spans="1:15" ht="12.75">
      <c r="A111" s="137" t="s">
        <v>317</v>
      </c>
      <c r="B111" s="388" t="s">
        <v>267</v>
      </c>
      <c r="C111" s="493" t="s">
        <v>177</v>
      </c>
      <c r="D111" s="436">
        <v>2011</v>
      </c>
      <c r="E111" s="436">
        <v>2012</v>
      </c>
      <c r="F111" s="436">
        <v>900</v>
      </c>
      <c r="G111" s="436">
        <v>90004</v>
      </c>
      <c r="H111" s="436">
        <v>4300</v>
      </c>
      <c r="I111" s="51">
        <v>220000</v>
      </c>
      <c r="J111" s="51">
        <v>200000</v>
      </c>
      <c r="K111" s="51"/>
      <c r="L111" s="51"/>
      <c r="M111" s="51"/>
      <c r="N111" s="51">
        <v>0</v>
      </c>
      <c r="O111" s="165">
        <f>SUM(J111:M111)</f>
        <v>200000</v>
      </c>
    </row>
    <row r="112" spans="1:15" ht="12.75">
      <c r="A112" s="137" t="s">
        <v>323</v>
      </c>
      <c r="B112" s="388" t="s">
        <v>307</v>
      </c>
      <c r="C112" s="493" t="s">
        <v>177</v>
      </c>
      <c r="D112" s="504">
        <v>2011</v>
      </c>
      <c r="E112" s="504">
        <v>2014</v>
      </c>
      <c r="F112" s="439">
        <v>900</v>
      </c>
      <c r="G112" s="439">
        <v>90015</v>
      </c>
      <c r="H112" s="439">
        <v>4260</v>
      </c>
      <c r="I112" s="51">
        <f>SUM(J112:L112)</f>
        <v>3030000</v>
      </c>
      <c r="J112" s="51">
        <v>980000</v>
      </c>
      <c r="K112" s="51">
        <v>1000000</v>
      </c>
      <c r="L112" s="51">
        <v>1050000</v>
      </c>
      <c r="M112" s="51"/>
      <c r="N112" s="51"/>
      <c r="O112" s="165">
        <f>SUM(J112:M112)</f>
        <v>3030000</v>
      </c>
    </row>
    <row r="113" spans="1:15" ht="14.25" customHeight="1">
      <c r="A113" s="137" t="s">
        <v>338</v>
      </c>
      <c r="B113" s="388" t="s">
        <v>269</v>
      </c>
      <c r="C113" s="493" t="s">
        <v>177</v>
      </c>
      <c r="D113" s="436">
        <v>2011</v>
      </c>
      <c r="E113" s="436">
        <v>2012</v>
      </c>
      <c r="F113" s="436">
        <v>900</v>
      </c>
      <c r="G113" s="436">
        <v>90015</v>
      </c>
      <c r="H113" s="436">
        <v>4270</v>
      </c>
      <c r="I113" s="51">
        <v>254000</v>
      </c>
      <c r="J113" s="51">
        <v>250000</v>
      </c>
      <c r="K113" s="51"/>
      <c r="L113" s="51"/>
      <c r="M113" s="51"/>
      <c r="N113" s="51">
        <v>0</v>
      </c>
      <c r="O113" s="165">
        <f>SUM(J113:M113)</f>
        <v>250000</v>
      </c>
    </row>
    <row r="114" spans="1:15" ht="12.75">
      <c r="A114" s="82"/>
      <c r="B114" s="82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82"/>
    </row>
    <row r="115" spans="1:3" ht="15">
      <c r="A115" s="36"/>
      <c r="B115" s="47"/>
      <c r="C115" s="48"/>
    </row>
    <row r="116" spans="1:3" ht="15">
      <c r="A116" s="36"/>
      <c r="B116" s="49"/>
      <c r="C116" s="48"/>
    </row>
    <row r="117" spans="1:3" ht="15">
      <c r="A117" s="50"/>
      <c r="B117" s="49"/>
      <c r="C117" s="48"/>
    </row>
    <row r="118" spans="1:3" ht="12.75">
      <c r="A118" s="36"/>
      <c r="B118" s="36"/>
      <c r="C118" s="48"/>
    </row>
  </sheetData>
  <sheetProtection/>
  <mergeCells count="47">
    <mergeCell ref="A6:O7"/>
    <mergeCell ref="A8:A10"/>
    <mergeCell ref="B8:B10"/>
    <mergeCell ref="C8:C10"/>
    <mergeCell ref="D8:E9"/>
    <mergeCell ref="F8:H9"/>
    <mergeCell ref="I8:I10"/>
    <mergeCell ref="J8:N8"/>
    <mergeCell ref="O8:O10"/>
    <mergeCell ref="N9:N10"/>
    <mergeCell ref="J9:J10"/>
    <mergeCell ref="K9:K10"/>
    <mergeCell ref="L9:L10"/>
    <mergeCell ref="M9:M10"/>
    <mergeCell ref="F18:H18"/>
    <mergeCell ref="B19:B20"/>
    <mergeCell ref="F19:H19"/>
    <mergeCell ref="F34:H34"/>
    <mergeCell ref="B23:B24"/>
    <mergeCell ref="F23:H23"/>
    <mergeCell ref="I83:I85"/>
    <mergeCell ref="F51:H51"/>
    <mergeCell ref="I41:I43"/>
    <mergeCell ref="J83:N83"/>
    <mergeCell ref="O83:O85"/>
    <mergeCell ref="J84:J85"/>
    <mergeCell ref="K84:K85"/>
    <mergeCell ref="L84:L85"/>
    <mergeCell ref="M84:M85"/>
    <mergeCell ref="N84:N85"/>
    <mergeCell ref="A83:A85"/>
    <mergeCell ref="B83:B85"/>
    <mergeCell ref="C83:C85"/>
    <mergeCell ref="D83:E84"/>
    <mergeCell ref="F83:H84"/>
    <mergeCell ref="A41:A43"/>
    <mergeCell ref="B41:B43"/>
    <mergeCell ref="C41:C43"/>
    <mergeCell ref="D41:E42"/>
    <mergeCell ref="F41:H42"/>
    <mergeCell ref="J41:N41"/>
    <mergeCell ref="O41:O43"/>
    <mergeCell ref="J42:J43"/>
    <mergeCell ref="K42:K43"/>
    <mergeCell ref="L42:L43"/>
    <mergeCell ref="M42:M43"/>
    <mergeCell ref="N42:N43"/>
  </mergeCells>
  <printOptions horizontalCentered="1"/>
  <pageMargins left="0.39375" right="0.19652777777777777" top="0.27569444444444446" bottom="0.44666666666666666" header="0.5118055555555555" footer="0.5118055555555555"/>
  <pageSetup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2011-12-20T13:24:03Z</cp:lastPrinted>
  <dcterms:created xsi:type="dcterms:W3CDTF">2011-02-22T14:35:52Z</dcterms:created>
  <dcterms:modified xsi:type="dcterms:W3CDTF">2011-12-20T13:44:46Z</dcterms:modified>
  <cp:category/>
  <cp:version/>
  <cp:contentType/>
  <cp:contentStatus/>
</cp:coreProperties>
</file>