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3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długu'!$H$16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<sst xmlns="http://schemas.openxmlformats.org/spreadsheetml/2006/main" count="816" uniqueCount="397">
  <si>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</si>
  <si>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</si>
  <si>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</si>
  <si>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</si>
  <si>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</si>
  <si>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</si>
  <si>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</si>
  <si>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</si>
  <si>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</si>
  <si>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</si>
  <si>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</si>
  <si>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</si>
  <si>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</si>
  <si>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</si>
  <si>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</si>
  <si>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</si>
  <si>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</si>
  <si>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</si>
  <si>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</si>
  <si>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</si>
  <si>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</si>
  <si>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</si>
  <si>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</si>
  <si>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</si>
  <si>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</si>
  <si>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</si>
  <si>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</si>
  <si>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</si>
  <si>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</si>
  <si>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</si>
  <si>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</si>
  <si>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</si>
  <si>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</si>
  <si>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</si>
  <si>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</si>
  <si>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</si>
  <si>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</si>
  <si>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</si>
  <si>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</si>
  <si>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</si>
  <si>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</si>
  <si>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</si>
  <si>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</si>
  <si>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</si>
  <si>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</si>
  <si>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</si>
  <si>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</si>
  <si>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</si>
  <si>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</si>
  <si>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</si>
  <si>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</si>
  <si>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</si>
  <si>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</si>
  <si>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</si>
  <si>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</si>
  <si>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</si>
  <si>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</si>
  <si>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</si>
  <si>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</si>
  <si>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</si>
  <si>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</si>
  <si>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</si>
  <si>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</si>
  <si>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</si>
  <si>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</si>
  <si>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</si>
  <si>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</si>
  <si>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</si>
  <si>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</si>
  <si>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</si>
  <si>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</si>
  <si>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</si>
  <si>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</si>
  <si>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</si>
  <si>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</si>
  <si>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</si>
  <si>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</si>
  <si>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</si>
  <si>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</si>
  <si>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</si>
  <si>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</si>
  <si>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</si>
  <si>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</si>
  <si>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</si>
  <si>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</si>
  <si>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</si>
  <si>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</si>
  <si>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</si>
  <si>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</si>
  <si>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</si>
  <si>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</si>
  <si>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</si>
  <si>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</si>
  <si>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</si>
  <si>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</si>
  <si>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</si>
  <si>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</si>
  <si>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</si>
  <si>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</si>
  <si>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</si>
  <si>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</si>
  <si>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</si>
  <si>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</si>
  <si>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</si>
  <si>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</si>
  <si>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</si>
  <si>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</si>
  <si>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</si>
  <si>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</si>
  <si>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</si>
  <si>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</si>
  <si>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</si>
  <si>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</si>
  <si>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</si>
  <si>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</si>
  <si>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</si>
  <si>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</si>
  <si>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</si>
  <si>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</si>
  <si>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</si>
  <si>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</si>
  <si>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</si>
  <si>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</si>
  <si>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</si>
  <si>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</si>
  <si>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</si>
  <si>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</si>
  <si>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</si>
  <si>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</si>
  <si>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</si>
  <si>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</si>
  <si>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</si>
  <si>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</si>
  <si>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</si>
  <si>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</si>
  <si>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</si>
  <si>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</si>
  <si>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</si>
  <si>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</si>
  <si>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</si>
  <si>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</si>
  <si>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</si>
  <si>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</si>
  <si>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</si>
  <si>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</si>
  <si>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</si>
  <si>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</si>
  <si>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</si>
  <si>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</si>
  <si>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</si>
  <si>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</si>
  <si>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</si>
  <si>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</si>
  <si>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</si>
  <si>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</si>
  <si>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</si>
  <si>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</si>
  <si>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</si>
  <si>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</si>
  <si>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</si>
  <si>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</si>
  <si>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</si>
  <si>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</si>
  <si>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</si>
  <si>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</si>
  <si>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</si>
  <si>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</si>
  <si>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</si>
  <si>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</si>
  <si>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</si>
  <si>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</si>
  <si>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</si>
  <si>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</si>
  <si>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</si>
  <si>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</si>
  <si>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</si>
  <si>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</si>
  <si>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</si>
  <si>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</si>
  <si>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</si>
  <si>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</si>
  <si>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</si>
  <si>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</si>
  <si>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</si>
  <si>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</si>
  <si>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</si>
  <si>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</si>
  <si>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</si>
  <si>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</si>
  <si>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</si>
  <si>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</si>
  <si>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</si>
  <si>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</si>
  <si>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</si>
  <si>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</si>
  <si>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</si>
  <si>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</si>
  <si>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</si>
  <si>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</si>
  <si>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</si>
  <si>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</si>
  <si>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</si>
  <si>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</si>
  <si>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</si>
  <si>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</si>
  <si>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</si>
  <si>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</si>
  <si>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</si>
  <si>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</si>
  <si>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</si>
  <si>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</si>
  <si>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</si>
  <si>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</si>
  <si>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</si>
  <si>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</si>
  <si>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</si>
  <si>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</si>
  <si>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</si>
  <si>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</si>
  <si>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</si>
  <si>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</si>
  <si>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</si>
  <si>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</si>
  <si>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</si>
  <si>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</si>
  <si>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</si>
  <si>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</si>
  <si>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</si>
  <si>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</si>
  <si>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</si>
  <si>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</si>
  <si>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</si>
  <si>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</si>
  <si>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</si>
  <si>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</si>
  <si>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</si>
  <si>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</si>
  <si>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</si>
  <si>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</si>
  <si>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</si>
  <si>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</si>
  <si>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</si>
  <si>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</si>
  <si>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</si>
  <si>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</si>
  <si>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</si>
  <si>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</si>
  <si>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</si>
  <si>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</si>
  <si>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</si>
  <si>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</si>
  <si>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</si>
  <si>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</si>
  <si>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</si>
  <si>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</si>
  <si>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</si>
  <si>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Lesznowola - Projekt i  budowa  ul. Sportowej wraz z wytyczeniem geodezyjnym przebiegu drogi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</si>
  <si>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</si>
  <si>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</si>
  <si>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</si>
  <si>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</si>
  <si>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</si>
  <si>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</si>
  <si>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</si>
  <si>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</si>
  <si>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</si>
  <si>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Programy, projekty lub zadania        ( razem)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</si>
  <si>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</si>
  <si>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</si>
  <si>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</si>
  <si>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</si>
  <si>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</si>
  <si>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</si>
  <si>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</si>
  <si>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</si>
  <si>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</si>
  <si>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</si>
  <si>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</si>
  <si>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</si>
  <si>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</si>
  <si>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21.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</si>
  <si>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</si>
  <si>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</si>
  <si>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</si>
  <si>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</si>
  <si>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</si>
  <si>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</si>
  <si>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</si>
  <si>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Łazy - Projekt budowy ul. Spokojnej</t>
  </si>
  <si>
    <t>2.1.12</t>
  </si>
  <si>
    <t>2.1.13</t>
  </si>
  <si>
    <t>2.1.14</t>
  </si>
  <si>
    <t>2.1.15</t>
  </si>
  <si>
    <t>2.1.16</t>
  </si>
  <si>
    <t>Plan III kw. 2011</t>
  </si>
  <si>
    <t>WIELOLETNIA  PROGNOZA  FINANSOWA  GMINY  LESZNOWOLA  NA LATA  2012 - 2021</t>
  </si>
  <si>
    <t xml:space="preserve">Lesznowola-Projekt i budowa parkingu wraz z odwodnieniem przy Zespole Szkół Publicznych 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</si>
  <si>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</si>
  <si>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</si>
  <si>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</si>
  <si>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</si>
  <si>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</si>
  <si>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</si>
  <si>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</si>
  <si>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</si>
  <si>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</si>
  <si>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PROGNOZA DŁUGU GMINY LESZNOWOLA NA LATA 2012- 2021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</si>
  <si>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</si>
  <si>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</si>
  <si>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</si>
  <si>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</si>
  <si>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</si>
  <si>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55 381 222,-zł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</si>
  <si>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</si>
  <si>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</si>
  <si>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</si>
  <si>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</si>
  <si>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</si>
  <si>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</si>
  <si>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</si>
  <si>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</si>
  <si>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</si>
  <si>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</si>
  <si>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</si>
  <si>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</si>
  <si>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</si>
  <si>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</si>
  <si>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</si>
  <si>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</si>
  <si>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</si>
  <si>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</si>
  <si>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</si>
  <si>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>Nowa Iwiczna - Projekt budowy ul. Willowej oraz kanalizacji deszczowej w ulicach: Willowej, Cichej , Krasickiego i działki nr. 31/40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</si>
  <si>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</si>
  <si>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</si>
  <si>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</si>
  <si>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</si>
  <si>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</si>
  <si>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</si>
  <si>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</si>
  <si>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</si>
  <si>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</si>
  <si>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</si>
  <si>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</si>
  <si>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</si>
  <si>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</si>
  <si>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</si>
  <si>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</si>
  <si>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</si>
  <si>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</si>
  <si>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</si>
  <si>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</si>
  <si>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</si>
  <si>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</si>
  <si>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</si>
  <si>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</si>
  <si>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</si>
  <si>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</si>
  <si>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</si>
  <si>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</si>
  <si>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</si>
  <si>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</si>
  <si>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</si>
  <si>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</si>
  <si>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</si>
  <si>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</si>
  <si>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</si>
  <si>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</si>
  <si>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</si>
  <si>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</si>
  <si>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</si>
  <si>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48.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</si>
  <si>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</si>
  <si>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</si>
  <si>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</si>
  <si>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Łazy II - Projekt i budowa oświetlenia na drodze gminnej dz. nr. 44/72 i 46 (przy ul. Przyszłości-pkt świetlne)</t>
  </si>
  <si>
    <t>Mysiadło - Projekt i budowa oświetlenia ulicy nr ewid. dz. 20/17, 31/6 i 22 (pkt świetlne)</t>
  </si>
  <si>
    <t>1.2.11</t>
  </si>
  <si>
    <t>UG - PRI</t>
  </si>
  <si>
    <t>Zgorzała - Budowa świetlicy   II etap</t>
  </si>
  <si>
    <t xml:space="preserve">Lesznowola - Projekt i rozbudowa ul. Okrężnej na odcinku od ul. Słonecznej do dz. nr. 278 </t>
  </si>
  <si>
    <t xml:space="preserve">Nowa Iwiczna - Projekt i rozbudowa ul. Torowej </t>
  </si>
  <si>
    <t>Stachowo, Wólka Kosowska, PAN Kosów i Mroków - Projekt i budowa ul. Karasia z odwodnieniem</t>
  </si>
  <si>
    <t>2.1.20</t>
  </si>
  <si>
    <t>Zakup usług pozostałych</t>
  </si>
  <si>
    <t>49.</t>
  </si>
  <si>
    <t>50.</t>
  </si>
  <si>
    <t>Kolonia Lesznowola - Projekt  i budowa ul. Krótkiej</t>
  </si>
  <si>
    <t>Przeciwdzialanie wykluczeniu cyfrowemu w Gminie Lesznowola</t>
  </si>
  <si>
    <t xml:space="preserve">Magdalenka - Projekt świetlicy </t>
  </si>
  <si>
    <t>Dzierżawa gruntu o pow. 1.000 m2 pod plac zabaw w Stefanowie</t>
  </si>
  <si>
    <t>51.</t>
  </si>
  <si>
    <t>Stefanowo- Projekt i przebudowa ul. Uroczej wraz z budową chodnika</t>
  </si>
  <si>
    <t>2.1.21</t>
  </si>
  <si>
    <t>Do Uchwały Nr 201/XV/2012</t>
  </si>
  <si>
    <t>z dnia 19 kwietnia 2012r.</t>
  </si>
  <si>
    <t>Mysiadło - Projekt i budowa oświetlenia ulic: Aronii, Porzeczkowej i Agrestowej (pkt świetlne)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</si>
</sst>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0" fontId="38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1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/>
    </xf>
    <xf numFmtId="0" fontId="30" fillId="0" borderId="1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30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20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textRotation="90"/>
    </xf>
    <xf numFmtId="3" fontId="38" fillId="0" borderId="14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165" fontId="35" fillId="0" borderId="14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24" borderId="14" xfId="0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5" fillId="0" borderId="27" xfId="0" applyFont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5" fillId="22" borderId="26" xfId="0" applyNumberFormat="1" applyFont="1" applyFill="1" applyBorder="1" applyAlignment="1">
      <alignment horizontal="center" vertical="center"/>
    </xf>
    <xf numFmtId="3" fontId="35" fillId="22" borderId="26" xfId="0" applyNumberFormat="1" applyFont="1" applyFill="1" applyBorder="1" applyAlignment="1">
      <alignment horizontal="center" vertical="center" wrapText="1"/>
    </xf>
    <xf numFmtId="0" fontId="35" fillId="22" borderId="28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left" vertical="center" wrapText="1"/>
    </xf>
    <xf numFmtId="3" fontId="34" fillId="0" borderId="3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3" fontId="30" fillId="22" borderId="14" xfId="0" applyNumberFormat="1" applyFont="1" applyFill="1" applyBorder="1" applyAlignment="1">
      <alignment horizontal="center" vertical="center"/>
    </xf>
    <xf numFmtId="165" fontId="30" fillId="22" borderId="14" xfId="0" applyNumberFormat="1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left" vertical="center" wrapText="1"/>
    </xf>
    <xf numFmtId="4" fontId="30" fillId="22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31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left" vertical="center" wrapText="1"/>
    </xf>
    <xf numFmtId="0" fontId="38" fillId="4" borderId="33" xfId="0" applyFont="1" applyFill="1" applyBorder="1" applyAlignment="1">
      <alignment horizontal="center" vertical="center" wrapText="1"/>
    </xf>
    <xf numFmtId="3" fontId="35" fillId="4" borderId="33" xfId="0" applyNumberFormat="1" applyFont="1" applyFill="1" applyBorder="1" applyAlignment="1">
      <alignment horizontal="center" vertical="center" wrapText="1"/>
    </xf>
    <xf numFmtId="3" fontId="34" fillId="4" borderId="33" xfId="0" applyNumberFormat="1" applyFont="1" applyFill="1" applyBorder="1" applyAlignment="1">
      <alignment horizontal="center" vertical="center" wrapText="1"/>
    </xf>
    <xf numFmtId="3" fontId="35" fillId="4" borderId="34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0" borderId="36" xfId="0" applyNumberFormat="1" applyFont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5" fillId="4" borderId="36" xfId="0" applyNumberFormat="1" applyFont="1" applyFill="1" applyBorder="1" applyAlignment="1">
      <alignment horizontal="center" vertical="center"/>
    </xf>
    <xf numFmtId="3" fontId="45" fillId="0" borderId="36" xfId="0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7" xfId="0" applyNumberFormat="1" applyFont="1" applyFill="1" applyBorder="1" applyAlignment="1">
      <alignment horizontal="center" vertical="center" wrapText="1"/>
    </xf>
    <xf numFmtId="3" fontId="45" fillId="0" borderId="37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3" fontId="45" fillId="0" borderId="38" xfId="0" applyNumberFormat="1" applyFont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45" fillId="0" borderId="39" xfId="0" applyNumberFormat="1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3" fontId="45" fillId="0" borderId="40" xfId="0" applyNumberFormat="1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3" fontId="45" fillId="0" borderId="41" xfId="0" applyNumberFormat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3" fontId="45" fillId="0" borderId="42" xfId="0" applyNumberFormat="1" applyFont="1" applyBorder="1" applyAlignment="1">
      <alignment horizontal="center" vertical="center"/>
    </xf>
    <xf numFmtId="0" fontId="30" fillId="0" borderId="43" xfId="0" applyFont="1" applyFill="1" applyBorder="1" applyAlignment="1">
      <alignment horizontal="left" vertical="center" wrapText="1"/>
    </xf>
    <xf numFmtId="3" fontId="47" fillId="25" borderId="14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 wrapText="1"/>
    </xf>
    <xf numFmtId="3" fontId="45" fillId="0" borderId="45" xfId="0" applyNumberFormat="1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3" fontId="45" fillId="0" borderId="46" xfId="0" applyNumberFormat="1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right" vertical="center" wrapText="1"/>
    </xf>
    <xf numFmtId="0" fontId="30" fillId="0" borderId="50" xfId="0" applyFont="1" applyFill="1" applyBorder="1" applyAlignment="1">
      <alignment horizontal="center" vertical="center" wrapText="1"/>
    </xf>
    <xf numFmtId="3" fontId="30" fillId="0" borderId="50" xfId="0" applyNumberFormat="1" applyFont="1" applyFill="1" applyBorder="1" applyAlignment="1">
      <alignment horizontal="center" vertical="center" wrapText="1"/>
    </xf>
    <xf numFmtId="3" fontId="45" fillId="0" borderId="50" xfId="0" applyNumberFormat="1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3" fontId="45" fillId="0" borderId="51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3" fontId="30" fillId="0" borderId="53" xfId="0" applyNumberFormat="1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30" fillId="0" borderId="35" xfId="0" applyNumberFormat="1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/>
    </xf>
    <xf numFmtId="3" fontId="30" fillId="0" borderId="23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5" fillId="26" borderId="14" xfId="0" applyNumberFormat="1" applyFont="1" applyFill="1" applyBorder="1" applyAlignment="1">
      <alignment horizontal="center" vertical="center"/>
    </xf>
    <xf numFmtId="3" fontId="35" fillId="27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5" fillId="0" borderId="26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54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 horizontal="center" vertical="top" wrapText="1"/>
    </xf>
    <xf numFmtId="3" fontId="18" fillId="0" borderId="45" xfId="0" applyNumberFormat="1" applyFont="1" applyBorder="1" applyAlignment="1">
      <alignment horizontal="center" vertical="top" wrapText="1"/>
    </xf>
    <xf numFmtId="3" fontId="18" fillId="0" borderId="45" xfId="0" applyNumberFormat="1" applyFont="1" applyBorder="1" applyAlignment="1">
      <alignment/>
    </xf>
    <xf numFmtId="164" fontId="21" fillId="0" borderId="55" xfId="0" applyNumberFormat="1" applyFont="1" applyBorder="1" applyAlignment="1">
      <alignment/>
    </xf>
    <xf numFmtId="1" fontId="21" fillId="0" borderId="39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 horizontal="center" vertical="top" wrapText="1"/>
    </xf>
    <xf numFmtId="3" fontId="18" fillId="0" borderId="39" xfId="0" applyNumberFormat="1" applyFont="1" applyBorder="1" applyAlignment="1">
      <alignment/>
    </xf>
    <xf numFmtId="164" fontId="21" fillId="0" borderId="56" xfId="0" applyNumberFormat="1" applyFont="1" applyBorder="1" applyAlignment="1">
      <alignment/>
    </xf>
    <xf numFmtId="1" fontId="21" fillId="0" borderId="50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 horizontal="center" vertical="top" wrapText="1"/>
    </xf>
    <xf numFmtId="3" fontId="18" fillId="0" borderId="50" xfId="0" applyNumberFormat="1" applyFont="1" applyBorder="1" applyAlignment="1">
      <alignment horizontal="center" vertical="top" wrapText="1"/>
    </xf>
    <xf numFmtId="3" fontId="18" fillId="0" borderId="50" xfId="0" applyNumberFormat="1" applyFont="1" applyBorder="1" applyAlignment="1">
      <alignment/>
    </xf>
    <xf numFmtId="164" fontId="21" fillId="22" borderId="55" xfId="0" applyNumberFormat="1" applyFont="1" applyFill="1" applyBorder="1" applyAlignment="1">
      <alignment/>
    </xf>
    <xf numFmtId="1" fontId="21" fillId="22" borderId="39" xfId="0" applyNumberFormat="1" applyFont="1" applyFill="1" applyBorder="1" applyAlignment="1">
      <alignment horizontal="center"/>
    </xf>
    <xf numFmtId="3" fontId="18" fillId="22" borderId="39" xfId="0" applyNumberFormat="1" applyFont="1" applyFill="1" applyBorder="1" applyAlignment="1">
      <alignment/>
    </xf>
    <xf numFmtId="164" fontId="21" fillId="22" borderId="56" xfId="0" applyNumberFormat="1" applyFont="1" applyFill="1" applyBorder="1" applyAlignment="1">
      <alignment/>
    </xf>
    <xf numFmtId="1" fontId="21" fillId="22" borderId="50" xfId="0" applyNumberFormat="1" applyFont="1" applyFill="1" applyBorder="1" applyAlignment="1">
      <alignment horizontal="center"/>
    </xf>
    <xf numFmtId="3" fontId="18" fillId="22" borderId="50" xfId="0" applyNumberFormat="1" applyFont="1" applyFill="1" applyBorder="1" applyAlignment="1">
      <alignment/>
    </xf>
    <xf numFmtId="164" fontId="21" fillId="22" borderId="57" xfId="0" applyNumberFormat="1" applyFont="1" applyFill="1" applyBorder="1" applyAlignment="1">
      <alignment/>
    </xf>
    <xf numFmtId="1" fontId="21" fillId="22" borderId="53" xfId="0" applyNumberFormat="1" applyFont="1" applyFill="1" applyBorder="1" applyAlignment="1">
      <alignment horizontal="center"/>
    </xf>
    <xf numFmtId="3" fontId="21" fillId="0" borderId="53" xfId="0" applyNumberFormat="1" applyFont="1" applyBorder="1" applyAlignment="1">
      <alignment horizontal="center" vertical="top" wrapText="1"/>
    </xf>
    <xf numFmtId="3" fontId="18" fillId="0" borderId="53" xfId="0" applyNumberFormat="1" applyFont="1" applyBorder="1" applyAlignment="1">
      <alignment horizontal="center" vertical="top" wrapText="1"/>
    </xf>
    <xf numFmtId="3" fontId="18" fillId="0" borderId="53" xfId="0" applyNumberFormat="1" applyFont="1" applyBorder="1" applyAlignment="1">
      <alignment/>
    </xf>
    <xf numFmtId="3" fontId="18" fillId="22" borderId="53" xfId="0" applyNumberFormat="1" applyFont="1" applyFill="1" applyBorder="1" applyAlignment="1">
      <alignment/>
    </xf>
    <xf numFmtId="164" fontId="21" fillId="22" borderId="54" xfId="0" applyNumberFormat="1" applyFont="1" applyFill="1" applyBorder="1" applyAlignment="1">
      <alignment/>
    </xf>
    <xf numFmtId="1" fontId="21" fillId="22" borderId="45" xfId="0" applyNumberFormat="1" applyFont="1" applyFill="1" applyBorder="1" applyAlignment="1">
      <alignment horizontal="center"/>
    </xf>
    <xf numFmtId="3" fontId="21" fillId="22" borderId="45" xfId="0" applyNumberFormat="1" applyFont="1" applyFill="1" applyBorder="1" applyAlignment="1">
      <alignment horizontal="center" vertical="top" wrapText="1"/>
    </xf>
    <xf numFmtId="3" fontId="18" fillId="22" borderId="45" xfId="0" applyNumberFormat="1" applyFont="1" applyFill="1" applyBorder="1" applyAlignment="1">
      <alignment/>
    </xf>
    <xf numFmtId="3" fontId="21" fillId="22" borderId="39" xfId="0" applyNumberFormat="1" applyFont="1" applyFill="1" applyBorder="1" applyAlignment="1">
      <alignment horizontal="center" vertical="top" wrapText="1"/>
    </xf>
    <xf numFmtId="3" fontId="21" fillId="22" borderId="50" xfId="0" applyNumberFormat="1" applyFont="1" applyFill="1" applyBorder="1" applyAlignment="1">
      <alignment horizontal="center" vertical="top" wrapText="1"/>
    </xf>
    <xf numFmtId="3" fontId="18" fillId="22" borderId="45" xfId="0" applyNumberFormat="1" applyFont="1" applyFill="1" applyBorder="1" applyAlignment="1">
      <alignment horizontal="center" vertical="top" wrapText="1"/>
    </xf>
    <xf numFmtId="3" fontId="18" fillId="22" borderId="39" xfId="0" applyNumberFormat="1" applyFont="1" applyFill="1" applyBorder="1" applyAlignment="1">
      <alignment horizontal="center" vertical="top" wrapText="1"/>
    </xf>
    <xf numFmtId="3" fontId="18" fillId="22" borderId="50" xfId="0" applyNumberFormat="1" applyFont="1" applyFill="1" applyBorder="1" applyAlignment="1">
      <alignment horizontal="center" vertical="top" wrapText="1"/>
    </xf>
    <xf numFmtId="3" fontId="21" fillId="22" borderId="53" xfId="0" applyNumberFormat="1" applyFont="1" applyFill="1" applyBorder="1" applyAlignment="1">
      <alignment horizontal="center" vertical="top" wrapText="1"/>
    </xf>
    <xf numFmtId="3" fontId="18" fillId="22" borderId="53" xfId="0" applyNumberFormat="1" applyFont="1" applyFill="1" applyBorder="1" applyAlignment="1">
      <alignment horizontal="center" vertical="top" wrapText="1"/>
    </xf>
    <xf numFmtId="3" fontId="20" fillId="0" borderId="58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18" fillId="22" borderId="61" xfId="0" applyNumberFormat="1" applyFont="1" applyFill="1" applyBorder="1" applyAlignment="1">
      <alignment/>
    </xf>
    <xf numFmtId="3" fontId="18" fillId="22" borderId="62" xfId="0" applyNumberFormat="1" applyFont="1" applyFill="1" applyBorder="1" applyAlignment="1">
      <alignment/>
    </xf>
    <xf numFmtId="3" fontId="18" fillId="22" borderId="60" xfId="0" applyNumberFormat="1" applyFont="1" applyFill="1" applyBorder="1" applyAlignment="1">
      <alignment/>
    </xf>
    <xf numFmtId="3" fontId="18" fillId="22" borderId="63" xfId="0" applyNumberFormat="1" applyFont="1" applyFill="1" applyBorder="1" applyAlignment="1">
      <alignment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0" fontId="18" fillId="0" borderId="64" xfId="0" applyFont="1" applyBorder="1" applyAlignment="1">
      <alignment/>
    </xf>
    <xf numFmtId="0" fontId="0" fillId="22" borderId="64" xfId="0" applyNumberFormat="1" applyFill="1" applyBorder="1" applyAlignment="1">
      <alignment/>
    </xf>
    <xf numFmtId="0" fontId="0" fillId="22" borderId="64" xfId="0" applyFill="1" applyBorder="1" applyAlignment="1">
      <alignment/>
    </xf>
    <xf numFmtId="3" fontId="0" fillId="22" borderId="64" xfId="0" applyNumberFormat="1" applyFill="1" applyBorder="1" applyAlignment="1">
      <alignment/>
    </xf>
    <xf numFmtId="0" fontId="0" fillId="0" borderId="64" xfId="0" applyNumberForma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0" fillId="0" borderId="65" xfId="0" applyBorder="1" applyAlignment="1">
      <alignment/>
    </xf>
    <xf numFmtId="3" fontId="21" fillId="0" borderId="50" xfId="0" applyNumberFormat="1" applyFont="1" applyBorder="1" applyAlignment="1">
      <alignment/>
    </xf>
    <xf numFmtId="3" fontId="21" fillId="22" borderId="39" xfId="0" applyNumberFormat="1" applyFont="1" applyFill="1" applyBorder="1" applyAlignment="1">
      <alignment/>
    </xf>
    <xf numFmtId="3" fontId="21" fillId="22" borderId="50" xfId="0" applyNumberFormat="1" applyFont="1" applyFill="1" applyBorder="1" applyAlignment="1">
      <alignment/>
    </xf>
    <xf numFmtId="3" fontId="21" fillId="0" borderId="53" xfId="0" applyNumberFormat="1" applyFont="1" applyBorder="1" applyAlignment="1">
      <alignment/>
    </xf>
    <xf numFmtId="3" fontId="21" fillId="22" borderId="53" xfId="0" applyNumberFormat="1" applyFont="1" applyFill="1" applyBorder="1" applyAlignment="1">
      <alignment/>
    </xf>
    <xf numFmtId="3" fontId="21" fillId="22" borderId="45" xfId="0" applyNumberFormat="1" applyFont="1" applyFill="1" applyBorder="1" applyAlignment="1">
      <alignment/>
    </xf>
    <xf numFmtId="164" fontId="21" fillId="0" borderId="57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center"/>
    </xf>
    <xf numFmtId="0" fontId="0" fillId="0" borderId="66" xfId="0" applyFill="1" applyBorder="1" applyAlignment="1">
      <alignment/>
    </xf>
    <xf numFmtId="3" fontId="19" fillId="28" borderId="64" xfId="0" applyNumberFormat="1" applyFont="1" applyFill="1" applyBorder="1" applyAlignment="1">
      <alignment horizontal="center" vertical="top" wrapText="1"/>
    </xf>
    <xf numFmtId="3" fontId="0" fillId="28" borderId="64" xfId="0" applyNumberFormat="1" applyFill="1" applyBorder="1" applyAlignment="1">
      <alignment/>
    </xf>
    <xf numFmtId="0" fontId="0" fillId="28" borderId="67" xfId="0" applyFill="1" applyBorder="1" applyAlignment="1">
      <alignment/>
    </xf>
    <xf numFmtId="0" fontId="18" fillId="28" borderId="68" xfId="0" applyFont="1" applyFill="1" applyBorder="1" applyAlignment="1">
      <alignment/>
    </xf>
    <xf numFmtId="0" fontId="0" fillId="28" borderId="69" xfId="0" applyFill="1" applyBorder="1" applyAlignment="1">
      <alignment/>
    </xf>
    <xf numFmtId="3" fontId="0" fillId="28" borderId="70" xfId="0" applyNumberFormat="1" applyFill="1" applyBorder="1" applyAlignment="1">
      <alignment/>
    </xf>
    <xf numFmtId="3" fontId="0" fillId="28" borderId="68" xfId="0" applyNumberFormat="1" applyFill="1" applyBorder="1" applyAlignment="1">
      <alignment/>
    </xf>
    <xf numFmtId="3" fontId="0" fillId="28" borderId="69" xfId="0" applyNumberFormat="1" applyFill="1" applyBorder="1" applyAlignment="1">
      <alignment/>
    </xf>
    <xf numFmtId="3" fontId="0" fillId="28" borderId="71" xfId="0" applyNumberFormat="1" applyFill="1" applyBorder="1" applyAlignment="1">
      <alignment/>
    </xf>
    <xf numFmtId="0" fontId="0" fillId="28" borderId="72" xfId="0" applyFill="1" applyBorder="1" applyAlignment="1">
      <alignment/>
    </xf>
    <xf numFmtId="0" fontId="0" fillId="28" borderId="73" xfId="0" applyFill="1" applyBorder="1" applyAlignment="1">
      <alignment/>
    </xf>
    <xf numFmtId="0" fontId="0" fillId="28" borderId="64" xfId="0" applyFill="1" applyBorder="1" applyAlignment="1">
      <alignment/>
    </xf>
    <xf numFmtId="0" fontId="18" fillId="28" borderId="64" xfId="0" applyFont="1" applyFill="1" applyBorder="1" applyAlignment="1">
      <alignment/>
    </xf>
    <xf numFmtId="3" fontId="0" fillId="28" borderId="0" xfId="0" applyNumberFormat="1" applyFill="1" applyAlignment="1">
      <alignment/>
    </xf>
    <xf numFmtId="3" fontId="28" fillId="28" borderId="0" xfId="0" applyNumberFormat="1" applyFont="1" applyFill="1" applyAlignment="1">
      <alignment/>
    </xf>
    <xf numFmtId="3" fontId="19" fillId="0" borderId="58" xfId="0" applyNumberFormat="1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3" fontId="21" fillId="22" borderId="61" xfId="0" applyNumberFormat="1" applyFont="1" applyFill="1" applyBorder="1" applyAlignment="1">
      <alignment/>
    </xf>
    <xf numFmtId="3" fontId="21" fillId="22" borderId="63" xfId="0" applyNumberFormat="1" applyFont="1" applyFill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62" xfId="0" applyNumberFormat="1" applyFont="1" applyFill="1" applyBorder="1" applyAlignment="1">
      <alignment/>
    </xf>
    <xf numFmtId="3" fontId="21" fillId="0" borderId="63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74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7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74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75" xfId="0" applyFill="1" applyBorder="1" applyAlignment="1">
      <alignment/>
    </xf>
    <xf numFmtId="0" fontId="48" fillId="0" borderId="76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3" fontId="35" fillId="29" borderId="14" xfId="0" applyNumberFormat="1" applyFont="1" applyFill="1" applyBorder="1" applyAlignment="1">
      <alignment horizontal="center" vertical="center" wrapText="1"/>
    </xf>
    <xf numFmtId="0" fontId="34" fillId="29" borderId="13" xfId="0" applyFont="1" applyFill="1" applyBorder="1" applyAlignment="1">
      <alignment horizontal="center" vertical="center"/>
    </xf>
    <xf numFmtId="0" fontId="35" fillId="29" borderId="14" xfId="0" applyFont="1" applyFill="1" applyBorder="1" applyAlignment="1">
      <alignment horizontal="center" vertical="center" wrapText="1"/>
    </xf>
    <xf numFmtId="0" fontId="38" fillId="29" borderId="14" xfId="0" applyFont="1" applyFill="1" applyBorder="1" applyAlignment="1">
      <alignment horizontal="center" vertical="center" wrapText="1"/>
    </xf>
    <xf numFmtId="3" fontId="47" fillId="30" borderId="36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 wrapText="1"/>
    </xf>
    <xf numFmtId="3" fontId="0" fillId="0" borderId="66" xfId="0" applyNumberFormat="1" applyFill="1" applyBorder="1" applyAlignment="1">
      <alignment/>
    </xf>
    <xf numFmtId="0" fontId="34" fillId="4" borderId="3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4" fillId="29" borderId="35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46" fillId="31" borderId="14" xfId="0" applyFont="1" applyFill="1" applyBorder="1" applyAlignment="1">
      <alignment horizontal="center" vertical="center" wrapText="1"/>
    </xf>
    <xf numFmtId="3" fontId="47" fillId="32" borderId="36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 wrapText="1"/>
    </xf>
    <xf numFmtId="3" fontId="45" fillId="0" borderId="33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42" fillId="0" borderId="77" xfId="0" applyFont="1" applyFill="1" applyBorder="1" applyAlignment="1">
      <alignment horizontal="left" vertical="center" wrapText="1"/>
    </xf>
    <xf numFmtId="0" fontId="42" fillId="0" borderId="64" xfId="0" applyFont="1" applyBorder="1" applyAlignment="1">
      <alignment vertical="center" wrapText="1"/>
    </xf>
    <xf numFmtId="0" fontId="42" fillId="0" borderId="67" xfId="0" applyFont="1" applyBorder="1" applyAlignment="1">
      <alignment vertical="center" wrapText="1"/>
    </xf>
    <xf numFmtId="0" fontId="49" fillId="0" borderId="35" xfId="0" applyFont="1" applyBorder="1" applyAlignment="1">
      <alignment horizontal="left" vertical="center" wrapText="1"/>
    </xf>
    <xf numFmtId="0" fontId="30" fillId="0" borderId="64" xfId="0" applyFont="1" applyBorder="1" applyAlignment="1">
      <alignment vertical="center" wrapText="1"/>
    </xf>
    <xf numFmtId="0" fontId="30" fillId="0" borderId="35" xfId="0" applyFont="1" applyBorder="1" applyAlignment="1">
      <alignment horizontal="left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 quotePrefix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3" fontId="50" fillId="33" borderId="16" xfId="0" applyNumberFormat="1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/>
    </xf>
    <xf numFmtId="2" fontId="51" fillId="25" borderId="35" xfId="0" applyNumberFormat="1" applyFont="1" applyFill="1" applyBorder="1" applyAlignment="1">
      <alignment horizontal="left" vertical="center" wrapText="1"/>
    </xf>
    <xf numFmtId="3" fontId="35" fillId="25" borderId="14" xfId="0" applyNumberFormat="1" applyFont="1" applyFill="1" applyBorder="1" applyAlignment="1">
      <alignment horizontal="center" vertical="center" wrapText="1"/>
    </xf>
    <xf numFmtId="166" fontId="34" fillId="25" borderId="13" xfId="0" applyNumberFormat="1" applyFont="1" applyFill="1" applyBorder="1" applyAlignment="1">
      <alignment horizontal="center" vertical="center"/>
    </xf>
    <xf numFmtId="0" fontId="35" fillId="25" borderId="35" xfId="0" applyFont="1" applyFill="1" applyBorder="1" applyAlignment="1">
      <alignment horizontal="left" vertical="center" wrapText="1"/>
    </xf>
    <xf numFmtId="166" fontId="50" fillId="25" borderId="13" xfId="0" applyNumberFormat="1" applyFont="1" applyFill="1" applyBorder="1" applyAlignment="1">
      <alignment horizontal="center" vertical="center"/>
    </xf>
    <xf numFmtId="0" fontId="47" fillId="25" borderId="35" xfId="0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center" vertical="center" wrapText="1"/>
    </xf>
    <xf numFmtId="3" fontId="50" fillId="25" borderId="14" xfId="0" applyNumberFormat="1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/>
    </xf>
    <xf numFmtId="2" fontId="47" fillId="25" borderId="35" xfId="0" applyNumberFormat="1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3" fontId="30" fillId="0" borderId="18" xfId="0" applyNumberFormat="1" applyFont="1" applyFill="1" applyBorder="1" applyAlignment="1">
      <alignment horizontal="center" vertical="center" wrapText="1"/>
    </xf>
    <xf numFmtId="3" fontId="45" fillId="0" borderId="18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4" fillId="34" borderId="30" xfId="0" applyNumberFormat="1" applyFont="1" applyFill="1" applyBorder="1" applyAlignment="1">
      <alignment horizontal="center" vertical="center"/>
    </xf>
    <xf numFmtId="3" fontId="30" fillId="34" borderId="14" xfId="0" applyNumberFormat="1" applyFont="1" applyFill="1" applyBorder="1" applyAlignment="1">
      <alignment horizontal="center" vertical="center"/>
    </xf>
    <xf numFmtId="4" fontId="30" fillId="34" borderId="14" xfId="0" applyNumberFormat="1" applyFont="1" applyFill="1" applyBorder="1" applyAlignment="1">
      <alignment horizontal="center" vertical="center"/>
    </xf>
    <xf numFmtId="3" fontId="34" fillId="34" borderId="14" xfId="0" applyNumberFormat="1" applyFont="1" applyFill="1" applyBorder="1" applyAlignment="1">
      <alignment horizontal="center" vertical="center"/>
    </xf>
    <xf numFmtId="165" fontId="30" fillId="26" borderId="14" xfId="0" applyNumberFormat="1" applyFont="1" applyFill="1" applyBorder="1" applyAlignment="1">
      <alignment horizontal="center" vertical="center"/>
    </xf>
    <xf numFmtId="0" fontId="35" fillId="26" borderId="26" xfId="0" applyNumberFormat="1" applyFont="1" applyFill="1" applyBorder="1" applyAlignment="1">
      <alignment horizontal="center" vertical="center"/>
    </xf>
    <xf numFmtId="4" fontId="30" fillId="26" borderId="26" xfId="0" applyNumberFormat="1" applyFont="1" applyFill="1" applyBorder="1" applyAlignment="1">
      <alignment horizontal="center" vertical="center"/>
    </xf>
    <xf numFmtId="0" fontId="35" fillId="35" borderId="26" xfId="0" applyNumberFormat="1" applyFont="1" applyFill="1" applyBorder="1" applyAlignment="1">
      <alignment horizontal="center" vertical="center"/>
    </xf>
    <xf numFmtId="3" fontId="34" fillId="36" borderId="30" xfId="0" applyNumberFormat="1" applyFont="1" applyFill="1" applyBorder="1" applyAlignment="1">
      <alignment horizontal="center" vertical="center"/>
    </xf>
    <xf numFmtId="3" fontId="30" fillId="36" borderId="14" xfId="0" applyNumberFormat="1" applyFont="1" applyFill="1" applyBorder="1" applyAlignment="1">
      <alignment horizontal="center" vertical="center"/>
    </xf>
    <xf numFmtId="165" fontId="30" fillId="35" borderId="14" xfId="0" applyNumberFormat="1" applyFont="1" applyFill="1" applyBorder="1" applyAlignment="1">
      <alignment horizontal="center" vertical="center"/>
    </xf>
    <xf numFmtId="4" fontId="30" fillId="36" borderId="14" xfId="0" applyNumberFormat="1" applyFont="1" applyFill="1" applyBorder="1" applyAlignment="1">
      <alignment horizontal="center" vertical="center"/>
    </xf>
    <xf numFmtId="3" fontId="34" fillId="36" borderId="14" xfId="0" applyNumberFormat="1" applyFont="1" applyFill="1" applyBorder="1" applyAlignment="1">
      <alignment horizontal="center" vertical="center"/>
    </xf>
    <xf numFmtId="4" fontId="30" fillId="35" borderId="26" xfId="0" applyNumberFormat="1" applyFont="1" applyFill="1" applyBorder="1" applyAlignment="1">
      <alignment horizontal="center" vertical="center"/>
    </xf>
    <xf numFmtId="3" fontId="45" fillId="37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65" fontId="35" fillId="24" borderId="14" xfId="0" applyNumberFormat="1" applyFont="1" applyFill="1" applyBorder="1" applyAlignment="1">
      <alignment horizontal="center" vertical="center" wrapText="1"/>
    </xf>
    <xf numFmtId="0" fontId="38" fillId="0" borderId="7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3" fontId="34" fillId="0" borderId="14" xfId="0" applyNumberFormat="1" applyFont="1" applyFill="1" applyBorder="1" applyAlignment="1">
      <alignment horizontal="center" vertical="center"/>
    </xf>
    <xf numFmtId="3" fontId="35" fillId="34" borderId="19" xfId="0" applyNumberFormat="1" applyFont="1" applyFill="1" applyBorder="1" applyAlignment="1">
      <alignment horizontal="center" vertical="center"/>
    </xf>
    <xf numFmtId="3" fontId="38" fillId="34" borderId="19" xfId="0" applyNumberFormat="1" applyFont="1" applyFill="1" applyBorder="1" applyAlignment="1">
      <alignment horizontal="center" vertical="center"/>
    </xf>
    <xf numFmtId="3" fontId="35" fillId="27" borderId="19" xfId="0" applyNumberFormat="1" applyFont="1" applyFill="1" applyBorder="1" applyAlignment="1">
      <alignment horizontal="center" vertical="center" wrapText="1"/>
    </xf>
    <xf numFmtId="3" fontId="35" fillId="34" borderId="19" xfId="0" applyNumberFormat="1" applyFont="1" applyFill="1" applyBorder="1" applyAlignment="1">
      <alignment horizontal="center" vertical="center" wrapText="1"/>
    </xf>
    <xf numFmtId="4" fontId="35" fillId="34" borderId="19" xfId="0" applyNumberFormat="1" applyFont="1" applyFill="1" applyBorder="1" applyAlignment="1">
      <alignment horizontal="center" vertical="center" wrapText="1"/>
    </xf>
    <xf numFmtId="165" fontId="35" fillId="34" borderId="19" xfId="0" applyNumberFormat="1" applyFont="1" applyFill="1" applyBorder="1" applyAlignment="1">
      <alignment horizontal="center" vertical="center" wrapText="1"/>
    </xf>
    <xf numFmtId="3" fontId="35" fillId="34" borderId="79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center" vertical="center"/>
    </xf>
    <xf numFmtId="3" fontId="35" fillId="22" borderId="35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Fill="1" applyBorder="1" applyAlignment="1">
      <alignment horizontal="center" vertical="center"/>
    </xf>
    <xf numFmtId="4" fontId="35" fillId="0" borderId="35" xfId="0" applyNumberFormat="1" applyFont="1" applyFill="1" applyBorder="1" applyAlignment="1">
      <alignment horizontal="center" vertical="center" wrapText="1"/>
    </xf>
    <xf numFmtId="165" fontId="35" fillId="0" borderId="35" xfId="0" applyNumberFormat="1" applyFont="1" applyFill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center" vertical="center" wrapText="1"/>
    </xf>
    <xf numFmtId="3" fontId="38" fillId="0" borderId="35" xfId="0" applyNumberFormat="1" applyFont="1" applyBorder="1" applyAlignment="1">
      <alignment horizontal="center" vertical="center" wrapText="1"/>
    </xf>
    <xf numFmtId="3" fontId="35" fillId="0" borderId="80" xfId="0" applyNumberFormat="1" applyFont="1" applyBorder="1" applyAlignment="1">
      <alignment horizontal="center" vertical="center" wrapText="1"/>
    </xf>
    <xf numFmtId="3" fontId="35" fillId="36" borderId="21" xfId="0" applyNumberFormat="1" applyFont="1" applyFill="1" applyBorder="1" applyAlignment="1">
      <alignment horizontal="center" vertical="center"/>
    </xf>
    <xf numFmtId="3" fontId="38" fillId="36" borderId="21" xfId="0" applyNumberFormat="1" applyFont="1" applyFill="1" applyBorder="1" applyAlignment="1">
      <alignment horizontal="center" vertical="center"/>
    </xf>
    <xf numFmtId="3" fontId="35" fillId="35" borderId="21" xfId="0" applyNumberFormat="1" applyFont="1" applyFill="1" applyBorder="1" applyAlignment="1">
      <alignment horizontal="center" vertical="center" wrapText="1"/>
    </xf>
    <xf numFmtId="3" fontId="35" fillId="36" borderId="21" xfId="0" applyNumberFormat="1" applyFont="1" applyFill="1" applyBorder="1" applyAlignment="1">
      <alignment horizontal="center" vertical="center" wrapText="1"/>
    </xf>
    <xf numFmtId="4" fontId="35" fillId="36" borderId="21" xfId="0" applyNumberFormat="1" applyFont="1" applyFill="1" applyBorder="1" applyAlignment="1">
      <alignment horizontal="center" vertical="center" wrapText="1"/>
    </xf>
    <xf numFmtId="165" fontId="35" fillId="36" borderId="21" xfId="0" applyNumberFormat="1" applyFont="1" applyFill="1" applyBorder="1" applyAlignment="1">
      <alignment horizontal="center" vertical="center" wrapText="1"/>
    </xf>
    <xf numFmtId="3" fontId="38" fillId="36" borderId="21" xfId="0" applyNumberFormat="1" applyFont="1" applyFill="1" applyBorder="1" applyAlignment="1">
      <alignment horizontal="center" vertical="center" wrapText="1"/>
    </xf>
    <xf numFmtId="3" fontId="35" fillId="36" borderId="81" xfId="0" applyNumberFormat="1" applyFont="1" applyFill="1" applyBorder="1" applyAlignment="1">
      <alignment horizontal="center" vertical="center" wrapText="1"/>
    </xf>
    <xf numFmtId="3" fontId="38" fillId="34" borderId="19" xfId="0" applyNumberFormat="1" applyFont="1" applyFill="1" applyBorder="1" applyAlignment="1">
      <alignment horizontal="center" vertical="center" wrapText="1"/>
    </xf>
    <xf numFmtId="3" fontId="38" fillId="0" borderId="35" xfId="0" applyNumberFormat="1" applyFont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82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83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84" xfId="0" applyFont="1" applyBorder="1" applyAlignment="1">
      <alignment vertical="center" wrapText="1"/>
    </xf>
    <xf numFmtId="0" fontId="42" fillId="0" borderId="7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5" fillId="34" borderId="14" xfId="0" applyNumberFormat="1" applyFont="1" applyFill="1" applyBorder="1" applyAlignment="1">
      <alignment horizontal="center" vertical="center" wrapText="1"/>
    </xf>
    <xf numFmtId="3" fontId="30" fillId="34" borderId="14" xfId="0" applyNumberFormat="1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right" vertical="center" wrapText="1"/>
    </xf>
    <xf numFmtId="3" fontId="46" fillId="31" borderId="14" xfId="0" applyNumberFormat="1" applyFont="1" applyFill="1" applyBorder="1" applyAlignment="1">
      <alignment horizontal="center" vertical="center" wrapText="1"/>
    </xf>
    <xf numFmtId="4" fontId="35" fillId="36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/>
    </xf>
    <xf numFmtId="3" fontId="35" fillId="0" borderId="85" xfId="0" applyNumberFormat="1" applyFont="1" applyFill="1" applyBorder="1" applyAlignment="1">
      <alignment horizontal="center" vertical="center" wrapText="1"/>
    </xf>
    <xf numFmtId="3" fontId="23" fillId="0" borderId="85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2" fillId="0" borderId="78" xfId="0" applyFont="1" applyBorder="1" applyAlignment="1">
      <alignment vertical="center" wrapText="1"/>
    </xf>
    <xf numFmtId="0" fontId="53" fillId="38" borderId="26" xfId="0" applyFont="1" applyFill="1" applyBorder="1" applyAlignment="1">
      <alignment horizontal="center" vertical="center" wrapText="1"/>
    </xf>
    <xf numFmtId="3" fontId="35" fillId="39" borderId="33" xfId="0" applyNumberFormat="1" applyFont="1" applyFill="1" applyBorder="1" applyAlignment="1">
      <alignment horizontal="center" vertical="center" wrapText="1"/>
    </xf>
    <xf numFmtId="3" fontId="45" fillId="40" borderId="14" xfId="0" applyNumberFormat="1" applyFont="1" applyFill="1" applyBorder="1" applyAlignment="1">
      <alignment horizontal="center" vertical="center" wrapText="1"/>
    </xf>
    <xf numFmtId="3" fontId="35" fillId="39" borderId="14" xfId="0" applyNumberFormat="1" applyFont="1" applyFill="1" applyBorder="1" applyAlignment="1">
      <alignment horizontal="center" vertical="center" wrapText="1"/>
    </xf>
    <xf numFmtId="3" fontId="30" fillId="40" borderId="37" xfId="0" applyNumberFormat="1" applyFont="1" applyFill="1" applyBorder="1" applyAlignment="1">
      <alignment horizontal="center" vertical="center" wrapText="1"/>
    </xf>
    <xf numFmtId="3" fontId="30" fillId="40" borderId="39" xfId="0" applyNumberFormat="1" applyFont="1" applyFill="1" applyBorder="1" applyAlignment="1">
      <alignment horizontal="center" vertical="center" wrapText="1"/>
    </xf>
    <xf numFmtId="3" fontId="30" fillId="40" borderId="41" xfId="0" applyNumberFormat="1" applyFont="1" applyFill="1" applyBorder="1" applyAlignment="1">
      <alignment horizontal="center" vertical="center" wrapText="1"/>
    </xf>
    <xf numFmtId="3" fontId="30" fillId="40" borderId="33" xfId="0" applyNumberFormat="1" applyFont="1" applyFill="1" applyBorder="1" applyAlignment="1">
      <alignment horizontal="center" vertical="center" wrapText="1"/>
    </xf>
    <xf numFmtId="3" fontId="30" fillId="40" borderId="14" xfId="0" applyNumberFormat="1" applyFont="1" applyFill="1" applyBorder="1" applyAlignment="1">
      <alignment horizontal="center" vertical="center" wrapText="1"/>
    </xf>
    <xf numFmtId="3" fontId="30" fillId="40" borderId="16" xfId="0" applyNumberFormat="1" applyFont="1" applyFill="1" applyBorder="1" applyAlignment="1">
      <alignment horizontal="center" vertical="center" wrapText="1"/>
    </xf>
    <xf numFmtId="3" fontId="45" fillId="40" borderId="37" xfId="0" applyNumberFormat="1" applyFont="1" applyFill="1" applyBorder="1" applyAlignment="1">
      <alignment horizontal="center" vertical="center" wrapText="1"/>
    </xf>
    <xf numFmtId="3" fontId="45" fillId="40" borderId="39" xfId="0" applyNumberFormat="1" applyFont="1" applyFill="1" applyBorder="1" applyAlignment="1">
      <alignment horizontal="center" vertical="center" wrapText="1"/>
    </xf>
    <xf numFmtId="3" fontId="45" fillId="40" borderId="41" xfId="0" applyNumberFormat="1" applyFont="1" applyFill="1" applyBorder="1" applyAlignment="1">
      <alignment horizontal="center" vertical="center" wrapText="1"/>
    </xf>
    <xf numFmtId="3" fontId="30" fillId="40" borderId="41" xfId="0" applyNumberFormat="1" applyFont="1" applyFill="1" applyBorder="1" applyAlignment="1" quotePrefix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45" fillId="0" borderId="3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2" fillId="0" borderId="86" xfId="0" applyFont="1" applyBorder="1" applyAlignment="1">
      <alignment vertical="center" wrapText="1"/>
    </xf>
    <xf numFmtId="3" fontId="45" fillId="0" borderId="87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50" fillId="40" borderId="16" xfId="0" applyNumberFormat="1" applyFont="1" applyFill="1" applyBorder="1" applyAlignment="1">
      <alignment horizontal="center" vertical="center" wrapText="1"/>
    </xf>
    <xf numFmtId="3" fontId="30" fillId="40" borderId="45" xfId="0" applyNumberFormat="1" applyFont="1" applyFill="1" applyBorder="1" applyAlignment="1">
      <alignment horizontal="center" vertical="center" wrapText="1"/>
    </xf>
    <xf numFmtId="3" fontId="30" fillId="40" borderId="50" xfId="0" applyNumberFormat="1" applyFont="1" applyFill="1" applyBorder="1" applyAlignment="1">
      <alignment horizontal="center" vertical="center" wrapText="1"/>
    </xf>
    <xf numFmtId="3" fontId="30" fillId="40" borderId="52" xfId="0" applyNumberFormat="1" applyFont="1" applyFill="1" applyBorder="1" applyAlignment="1">
      <alignment horizontal="center" vertical="center" wrapText="1"/>
    </xf>
    <xf numFmtId="3" fontId="30" fillId="40" borderId="53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right" vertical="center" wrapText="1"/>
    </xf>
    <xf numFmtId="3" fontId="30" fillId="4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2" fillId="0" borderId="88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8" borderId="72" xfId="0" applyFill="1" applyBorder="1" applyAlignment="1">
      <alignment/>
    </xf>
    <xf numFmtId="0" fontId="0" fillId="28" borderId="73" xfId="0" applyFill="1" applyBorder="1" applyAlignment="1">
      <alignment/>
    </xf>
    <xf numFmtId="0" fontId="0" fillId="0" borderId="6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66" xfId="0" applyBorder="1" applyAlignment="1">
      <alignment vertical="center"/>
    </xf>
    <xf numFmtId="164" fontId="19" fillId="0" borderId="88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28" borderId="64" xfId="0" applyFill="1" applyBorder="1" applyAlignment="1">
      <alignment/>
    </xf>
    <xf numFmtId="0" fontId="35" fillId="22" borderId="91" xfId="0" applyFont="1" applyFill="1" applyBorder="1" applyAlignment="1">
      <alignment horizontal="center" vertical="center" wrapText="1"/>
    </xf>
    <xf numFmtId="0" fontId="35" fillId="22" borderId="18" xfId="0" applyFont="1" applyFill="1" applyBorder="1" applyAlignment="1">
      <alignment horizontal="center" vertical="center" wrapText="1"/>
    </xf>
    <xf numFmtId="0" fontId="35" fillId="22" borderId="92" xfId="0" applyFont="1" applyFill="1" applyBorder="1" applyAlignment="1">
      <alignment horizontal="center" vertical="center" wrapText="1"/>
    </xf>
    <xf numFmtId="0" fontId="35" fillId="22" borderId="14" xfId="0" applyFont="1" applyFill="1" applyBorder="1" applyAlignment="1">
      <alignment horizontal="center" vertical="center"/>
    </xf>
    <xf numFmtId="0" fontId="35" fillId="26" borderId="93" xfId="0" applyFont="1" applyFill="1" applyBorder="1" applyAlignment="1">
      <alignment horizontal="center" vertical="center" wrapText="1"/>
    </xf>
    <xf numFmtId="0" fontId="35" fillId="26" borderId="34" xfId="0" applyFont="1" applyFill="1" applyBorder="1" applyAlignment="1">
      <alignment horizontal="center" vertical="center" wrapText="1"/>
    </xf>
    <xf numFmtId="0" fontId="41" fillId="4" borderId="89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0" fontId="35" fillId="22" borderId="94" xfId="0" applyFont="1" applyFill="1" applyBorder="1" applyAlignment="1">
      <alignment horizontal="center" vertical="center" wrapText="1"/>
    </xf>
    <xf numFmtId="0" fontId="35" fillId="22" borderId="0" xfId="0" applyFont="1" applyFill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35" fillId="22" borderId="14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0" fontId="38" fillId="0" borderId="78" xfId="0" applyFont="1" applyBorder="1" applyAlignment="1">
      <alignment vertical="center"/>
    </xf>
    <xf numFmtId="0" fontId="38" fillId="0" borderId="2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5" fillId="0" borderId="96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5" fillId="0" borderId="13" xfId="0" applyFont="1" applyBorder="1" applyAlignment="1">
      <alignment horizontal="left" vertical="center" wrapText="1"/>
    </xf>
    <xf numFmtId="0" fontId="35" fillId="22" borderId="13" xfId="0" applyFont="1" applyFill="1" applyBorder="1" applyAlignment="1">
      <alignment horizontal="left" vertical="center" wrapText="1"/>
    </xf>
    <xf numFmtId="0" fontId="35" fillId="22" borderId="22" xfId="0" applyFont="1" applyFill="1" applyBorder="1" applyAlignment="1">
      <alignment horizontal="left" vertical="center" wrapText="1"/>
    </xf>
    <xf numFmtId="0" fontId="35" fillId="22" borderId="97" xfId="0" applyFont="1" applyFill="1" applyBorder="1" applyAlignment="1">
      <alignment horizontal="center" vertical="center"/>
    </xf>
    <xf numFmtId="0" fontId="38" fillId="0" borderId="22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47" xfId="0" applyFont="1" applyFill="1" applyBorder="1" applyAlignment="1">
      <alignment horizontal="center" vertical="center" textRotation="90" wrapText="1"/>
    </xf>
    <xf numFmtId="0" fontId="38" fillId="0" borderId="31" xfId="0" applyFont="1" applyFill="1" applyBorder="1" applyAlignment="1">
      <alignment horizontal="center" vertical="center" textRotation="90" wrapText="1"/>
    </xf>
    <xf numFmtId="0" fontId="35" fillId="22" borderId="35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35" borderId="21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 wrapText="1"/>
    </xf>
    <xf numFmtId="0" fontId="35" fillId="0" borderId="79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0" fontId="38" fillId="0" borderId="78" xfId="0" applyFont="1" applyBorder="1" applyAlignment="1">
      <alignment horizontal="left" vertical="center"/>
    </xf>
    <xf numFmtId="0" fontId="35" fillId="22" borderId="30" xfId="0" applyFont="1" applyFill="1" applyBorder="1" applyAlignment="1">
      <alignment horizontal="center" vertical="center"/>
    </xf>
    <xf numFmtId="0" fontId="35" fillId="22" borderId="98" xfId="0" applyFont="1" applyFill="1" applyBorder="1" applyAlignment="1">
      <alignment horizontal="center" vertical="center" wrapText="1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9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textRotation="90"/>
    </xf>
    <xf numFmtId="0" fontId="35" fillId="22" borderId="95" xfId="0" applyFont="1" applyFill="1" applyBorder="1" applyAlignment="1">
      <alignment horizontal="center" vertical="center" wrapText="1"/>
    </xf>
    <xf numFmtId="0" fontId="35" fillId="22" borderId="101" xfId="0" applyFont="1" applyFill="1" applyBorder="1" applyAlignment="1">
      <alignment horizontal="center" vertical="center" wrapText="1"/>
    </xf>
    <xf numFmtId="0" fontId="35" fillId="22" borderId="89" xfId="0" applyFont="1" applyFill="1" applyBorder="1" applyAlignment="1">
      <alignment horizontal="center" vertical="center" wrapText="1"/>
    </xf>
    <xf numFmtId="0" fontId="0" fillId="0" borderId="99" xfId="0" applyBorder="1" applyAlignment="1">
      <alignment/>
    </xf>
    <xf numFmtId="0" fontId="35" fillId="22" borderId="102" xfId="0" applyFont="1" applyFill="1" applyBorder="1" applyAlignment="1">
      <alignment horizontal="center" vertical="center"/>
    </xf>
    <xf numFmtId="0" fontId="35" fillId="22" borderId="27" xfId="0" applyFont="1" applyFill="1" applyBorder="1" applyAlignment="1">
      <alignment horizontal="center" vertical="center"/>
    </xf>
    <xf numFmtId="0" fontId="35" fillId="22" borderId="103" xfId="0" applyFont="1" applyFill="1" applyBorder="1" applyAlignment="1">
      <alignment horizontal="center" vertical="center"/>
    </xf>
    <xf numFmtId="0" fontId="35" fillId="26" borderId="30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35" fillId="26" borderId="30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/>
    </xf>
    <xf numFmtId="0" fontId="35" fillId="22" borderId="104" xfId="0" applyFont="1" applyFill="1" applyBorder="1" applyAlignment="1">
      <alignment horizontal="center" vertical="center"/>
    </xf>
    <xf numFmtId="0" fontId="35" fillId="35" borderId="105" xfId="0" applyFont="1" applyFill="1" applyBorder="1" applyAlignment="1">
      <alignment horizontal="center" vertical="center"/>
    </xf>
    <xf numFmtId="0" fontId="35" fillId="22" borderId="23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/>
    </xf>
    <xf numFmtId="0" fontId="40" fillId="22" borderId="11" xfId="0" applyFont="1" applyFill="1" applyBorder="1" applyAlignment="1">
      <alignment horizontal="center" vertical="center"/>
    </xf>
    <xf numFmtId="0" fontId="35" fillId="22" borderId="87" xfId="0" applyFont="1" applyFill="1" applyBorder="1" applyAlignment="1">
      <alignment horizontal="center" vertical="center"/>
    </xf>
    <xf numFmtId="0" fontId="35" fillId="22" borderId="36" xfId="0" applyFont="1" applyFill="1" applyBorder="1" applyAlignment="1">
      <alignment horizontal="center" vertical="center"/>
    </xf>
    <xf numFmtId="0" fontId="41" fillId="4" borderId="89" xfId="0" applyFont="1" applyFill="1" applyBorder="1" applyAlignment="1">
      <alignment horizontal="center" vertical="top"/>
    </xf>
    <xf numFmtId="0" fontId="34" fillId="22" borderId="93" xfId="0" applyFont="1" applyFill="1" applyBorder="1" applyAlignment="1">
      <alignment horizontal="center" vertical="center" wrapText="1"/>
    </xf>
    <xf numFmtId="0" fontId="34" fillId="22" borderId="106" xfId="0" applyFont="1" applyFill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34" fillId="38" borderId="14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15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4" fillId="22" borderId="44" xfId="0" applyFont="1" applyFill="1" applyBorder="1" applyAlignment="1">
      <alignment horizontal="center" vertical="center"/>
    </xf>
    <xf numFmtId="0" fontId="34" fillId="22" borderId="47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4" fillId="22" borderId="76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4" fillId="22" borderId="76" xfId="0" applyFont="1" applyFill="1" applyBorder="1" applyAlignment="1">
      <alignment horizontal="center" vertical="center" wrapText="1"/>
    </xf>
    <xf numFmtId="0" fontId="54" fillId="22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5" fillId="22" borderId="3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22" borderId="76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4" fillId="22" borderId="16" xfId="0" applyFont="1" applyFill="1" applyBorder="1" applyAlignment="1">
      <alignment horizontal="center" vertical="center" wrapText="1"/>
    </xf>
    <xf numFmtId="0" fontId="43" fillId="4" borderId="102" xfId="0" applyFont="1" applyFill="1" applyBorder="1" applyAlignment="1">
      <alignment horizontal="center" vertical="center"/>
    </xf>
    <xf numFmtId="0" fontId="43" fillId="4" borderId="103" xfId="0" applyFont="1" applyFill="1" applyBorder="1" applyAlignment="1">
      <alignment horizontal="center" vertical="center"/>
    </xf>
    <xf numFmtId="0" fontId="34" fillId="22" borderId="30" xfId="0" applyFont="1" applyFill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4" fillId="22" borderId="17" xfId="0" applyFont="1" applyFill="1" applyBorder="1" applyAlignment="1">
      <alignment horizontal="center" vertical="center"/>
    </xf>
    <xf numFmtId="0" fontId="34" fillId="22" borderId="16" xfId="0" applyFont="1" applyFill="1" applyBorder="1" applyAlignment="1">
      <alignment horizontal="center" vertical="center"/>
    </xf>
    <xf numFmtId="0" fontId="55" fillId="22" borderId="14" xfId="0" applyFont="1" applyFill="1" applyBorder="1" applyAlignment="1">
      <alignment horizontal="center" vertical="center" wrapText="1"/>
    </xf>
    <xf numFmtId="0" fontId="54" fillId="22" borderId="16" xfId="0" applyFont="1" applyFill="1" applyBorder="1" applyAlignment="1">
      <alignment horizontal="center" vertical="center" wrapText="1"/>
    </xf>
    <xf numFmtId="0" fontId="34" fillId="22" borderId="108" xfId="0" applyFont="1" applyFill="1" applyBorder="1" applyAlignment="1">
      <alignment horizontal="center" vertical="center" wrapText="1"/>
    </xf>
    <xf numFmtId="0" fontId="34" fillId="22" borderId="49" xfId="0" applyFont="1" applyFill="1" applyBorder="1" applyAlignment="1">
      <alignment horizontal="center" vertical="center" wrapText="1"/>
    </xf>
    <xf numFmtId="0" fontId="44" fillId="22" borderId="49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 wrapText="1"/>
    </xf>
    <xf numFmtId="0" fontId="31" fillId="40" borderId="14" xfId="0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42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30" fillId="0" borderId="16" xfId="0" applyFont="1" applyFill="1" applyBorder="1" applyAlignment="1">
      <alignment horizontal="center" vertical="center" wrapText="1"/>
    </xf>
    <xf numFmtId="3" fontId="45" fillId="0" borderId="19" xfId="0" applyNumberFormat="1" applyFont="1" applyFill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D40" sqref="D4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37" t="s">
        <v>220</v>
      </c>
      <c r="B1" s="537"/>
      <c r="C1" s="537"/>
      <c r="D1" s="537"/>
      <c r="E1" s="537"/>
      <c r="F1" s="537"/>
      <c r="G1" s="537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237">
        <f>B4*C4*5.5%/360</f>
        <v>28875</v>
      </c>
      <c r="F4" s="237">
        <v>0</v>
      </c>
      <c r="G4" s="237">
        <f>E3+E4</f>
        <v>28875</v>
      </c>
    </row>
    <row r="5" spans="1:7" s="2" customFormat="1" ht="15">
      <c r="A5" s="238" t="s">
        <v>8</v>
      </c>
      <c r="B5" s="239">
        <v>90</v>
      </c>
      <c r="C5" s="240">
        <f aca="true" t="shared" si="0" ref="C5:C39">C4-D4</f>
        <v>2100000</v>
      </c>
      <c r="D5" s="241">
        <v>12500</v>
      </c>
      <c r="E5" s="242">
        <f>B5*C5*0.07/360</f>
        <v>36750.00000000001</v>
      </c>
      <c r="F5" s="242"/>
      <c r="G5" s="242"/>
    </row>
    <row r="6" spans="1:8" ht="15">
      <c r="A6" s="243" t="s">
        <v>9</v>
      </c>
      <c r="B6" s="244">
        <v>90</v>
      </c>
      <c r="C6" s="245">
        <f t="shared" si="0"/>
        <v>2087500</v>
      </c>
      <c r="D6" s="246">
        <v>12500</v>
      </c>
      <c r="E6" s="247">
        <f>B6*C6*0.07/360</f>
        <v>36531.25000000001</v>
      </c>
      <c r="F6" s="247"/>
      <c r="G6" s="247"/>
      <c r="H6" s="14">
        <f>SUM(D5:D8)</f>
        <v>50000</v>
      </c>
    </row>
    <row r="7" spans="1:7" ht="15">
      <c r="A7" s="243" t="s">
        <v>10</v>
      </c>
      <c r="B7" s="244">
        <v>90</v>
      </c>
      <c r="C7" s="245">
        <f t="shared" si="0"/>
        <v>2075000</v>
      </c>
      <c r="D7" s="246">
        <f aca="true" t="shared" si="1" ref="D7:D25">D6</f>
        <v>12500</v>
      </c>
      <c r="E7" s="247">
        <f aca="true" t="shared" si="2" ref="E7:E40">B7*C7*0.07/360</f>
        <v>36312.50000000001</v>
      </c>
      <c r="F7" s="247"/>
      <c r="G7" s="247"/>
    </row>
    <row r="8" spans="1:7" ht="15.75" thickBot="1">
      <c r="A8" s="248" t="s">
        <v>11</v>
      </c>
      <c r="B8" s="249">
        <v>90</v>
      </c>
      <c r="C8" s="250">
        <f t="shared" si="0"/>
        <v>2062500</v>
      </c>
      <c r="D8" s="251">
        <f t="shared" si="1"/>
        <v>12500</v>
      </c>
      <c r="E8" s="252">
        <f>B8*C8*0.07/360</f>
        <v>36093.75000000001</v>
      </c>
      <c r="F8" s="252">
        <v>50000</v>
      </c>
      <c r="G8" s="252">
        <v>173688</v>
      </c>
    </row>
    <row r="9" spans="1:7" ht="15">
      <c r="A9" s="238" t="s">
        <v>12</v>
      </c>
      <c r="B9" s="239">
        <v>90</v>
      </c>
      <c r="C9" s="240">
        <f t="shared" si="0"/>
        <v>2050000</v>
      </c>
      <c r="D9" s="241">
        <f t="shared" si="1"/>
        <v>12500</v>
      </c>
      <c r="E9" s="242">
        <f t="shared" si="2"/>
        <v>35875.00000000001</v>
      </c>
      <c r="F9" s="242"/>
      <c r="G9" s="242"/>
    </row>
    <row r="10" spans="1:8" ht="15">
      <c r="A10" s="243" t="s">
        <v>13</v>
      </c>
      <c r="B10" s="244">
        <v>90</v>
      </c>
      <c r="C10" s="245">
        <f t="shared" si="0"/>
        <v>2037500</v>
      </c>
      <c r="D10" s="246">
        <f t="shared" si="1"/>
        <v>12500</v>
      </c>
      <c r="E10" s="247">
        <f t="shared" si="2"/>
        <v>35656.25000000001</v>
      </c>
      <c r="F10" s="247"/>
      <c r="G10" s="247"/>
      <c r="H10" s="14">
        <v>50000</v>
      </c>
    </row>
    <row r="11" spans="1:7" ht="15">
      <c r="A11" s="243" t="s">
        <v>14</v>
      </c>
      <c r="B11" s="244">
        <v>90</v>
      </c>
      <c r="C11" s="245">
        <f t="shared" si="0"/>
        <v>2025000</v>
      </c>
      <c r="D11" s="246">
        <f t="shared" si="1"/>
        <v>12500</v>
      </c>
      <c r="E11" s="247">
        <f t="shared" si="2"/>
        <v>35437.50000000001</v>
      </c>
      <c r="F11" s="247"/>
      <c r="G11" s="247"/>
    </row>
    <row r="12" spans="1:7" ht="15.75" thickBot="1">
      <c r="A12" s="248" t="s">
        <v>15</v>
      </c>
      <c r="B12" s="249">
        <v>90</v>
      </c>
      <c r="C12" s="250">
        <f t="shared" si="0"/>
        <v>2012500</v>
      </c>
      <c r="D12" s="251">
        <f t="shared" si="1"/>
        <v>12500</v>
      </c>
      <c r="E12" s="252">
        <f t="shared" si="2"/>
        <v>35218.75000000001</v>
      </c>
      <c r="F12" s="252">
        <f>SUM(D9:D12)</f>
        <v>50000</v>
      </c>
      <c r="G12" s="252">
        <v>170188</v>
      </c>
    </row>
    <row r="13" spans="1:7" ht="15">
      <c r="A13" s="238" t="s">
        <v>16</v>
      </c>
      <c r="B13" s="239">
        <v>90</v>
      </c>
      <c r="C13" s="240">
        <f t="shared" si="0"/>
        <v>2000000</v>
      </c>
      <c r="D13" s="241">
        <f t="shared" si="1"/>
        <v>12500</v>
      </c>
      <c r="E13" s="242">
        <f t="shared" si="2"/>
        <v>35000.00000000001</v>
      </c>
      <c r="F13" s="242"/>
      <c r="G13" s="242"/>
    </row>
    <row r="14" spans="1:8" ht="15">
      <c r="A14" s="243" t="s">
        <v>17</v>
      </c>
      <c r="B14" s="244">
        <v>90</v>
      </c>
      <c r="C14" s="245">
        <f t="shared" si="0"/>
        <v>1987500</v>
      </c>
      <c r="D14" s="246">
        <f t="shared" si="1"/>
        <v>12500</v>
      </c>
      <c r="E14" s="247">
        <f t="shared" si="2"/>
        <v>34781.25000000001</v>
      </c>
      <c r="F14" s="247"/>
      <c r="G14" s="247"/>
      <c r="H14" s="14">
        <v>50000</v>
      </c>
    </row>
    <row r="15" spans="1:7" ht="15">
      <c r="A15" s="243" t="s">
        <v>18</v>
      </c>
      <c r="B15" s="244">
        <v>90</v>
      </c>
      <c r="C15" s="245">
        <f t="shared" si="0"/>
        <v>1975000</v>
      </c>
      <c r="D15" s="246">
        <f t="shared" si="1"/>
        <v>12500</v>
      </c>
      <c r="E15" s="247">
        <f t="shared" si="2"/>
        <v>34562.50000000001</v>
      </c>
      <c r="F15" s="247"/>
      <c r="G15" s="247"/>
    </row>
    <row r="16" spans="1:7" ht="15.75" thickBot="1">
      <c r="A16" s="248" t="s">
        <v>19</v>
      </c>
      <c r="B16" s="249">
        <v>90</v>
      </c>
      <c r="C16" s="250">
        <f t="shared" si="0"/>
        <v>1962500</v>
      </c>
      <c r="D16" s="251">
        <f t="shared" si="1"/>
        <v>12500</v>
      </c>
      <c r="E16" s="252">
        <f>B16*C16*0.07/360</f>
        <v>34343.75000000001</v>
      </c>
      <c r="F16" s="252">
        <f>SUM(D13:D16)</f>
        <v>50000</v>
      </c>
      <c r="G16" s="252">
        <v>166688</v>
      </c>
    </row>
    <row r="17" spans="1:7" ht="15">
      <c r="A17" s="238" t="s">
        <v>20</v>
      </c>
      <c r="B17" s="239">
        <v>90</v>
      </c>
      <c r="C17" s="240">
        <f t="shared" si="0"/>
        <v>1950000</v>
      </c>
      <c r="D17" s="241">
        <f t="shared" si="1"/>
        <v>12500</v>
      </c>
      <c r="E17" s="242">
        <f t="shared" si="2"/>
        <v>34125.00000000001</v>
      </c>
      <c r="F17" s="242"/>
      <c r="G17" s="242"/>
    </row>
    <row r="18" spans="1:8" ht="15">
      <c r="A18" s="243" t="s">
        <v>21</v>
      </c>
      <c r="B18" s="244">
        <v>90</v>
      </c>
      <c r="C18" s="245">
        <f t="shared" si="0"/>
        <v>1937500</v>
      </c>
      <c r="D18" s="246">
        <f t="shared" si="1"/>
        <v>12500</v>
      </c>
      <c r="E18" s="247">
        <f t="shared" si="2"/>
        <v>33906.25000000001</v>
      </c>
      <c r="F18" s="247"/>
      <c r="G18" s="247"/>
      <c r="H18" s="14">
        <v>50000</v>
      </c>
    </row>
    <row r="19" spans="1:8" s="17" customFormat="1" ht="15">
      <c r="A19" s="253" t="s">
        <v>22</v>
      </c>
      <c r="B19" s="254">
        <v>90</v>
      </c>
      <c r="C19" s="245">
        <f t="shared" si="0"/>
        <v>1925000</v>
      </c>
      <c r="D19" s="246">
        <f t="shared" si="1"/>
        <v>12500</v>
      </c>
      <c r="E19" s="247">
        <f t="shared" si="2"/>
        <v>33687.50000000001</v>
      </c>
      <c r="F19" s="255"/>
      <c r="G19" s="255"/>
      <c r="H19" s="16"/>
    </row>
    <row r="20" spans="1:7" s="17" customFormat="1" ht="15.75" thickBot="1">
      <c r="A20" s="259" t="s">
        <v>23</v>
      </c>
      <c r="B20" s="260">
        <v>90</v>
      </c>
      <c r="C20" s="261">
        <f t="shared" si="0"/>
        <v>1912500</v>
      </c>
      <c r="D20" s="262">
        <f t="shared" si="1"/>
        <v>12500</v>
      </c>
      <c r="E20" s="263">
        <f t="shared" si="2"/>
        <v>33468.75000000001</v>
      </c>
      <c r="F20" s="264">
        <f>SUM(D17:D20)</f>
        <v>50000</v>
      </c>
      <c r="G20" s="264">
        <v>163188</v>
      </c>
    </row>
    <row r="21" spans="1:7" ht="15">
      <c r="A21" s="238" t="s">
        <v>24</v>
      </c>
      <c r="B21" s="239">
        <v>90</v>
      </c>
      <c r="C21" s="240">
        <f t="shared" si="0"/>
        <v>1900000</v>
      </c>
      <c r="D21" s="241">
        <f t="shared" si="1"/>
        <v>12500</v>
      </c>
      <c r="E21" s="242">
        <f t="shared" si="2"/>
        <v>33250.00000000001</v>
      </c>
      <c r="F21" s="242"/>
      <c r="G21" s="242"/>
    </row>
    <row r="22" spans="1:8" ht="15">
      <c r="A22" s="243" t="s">
        <v>25</v>
      </c>
      <c r="B22" s="244">
        <v>90</v>
      </c>
      <c r="C22" s="245">
        <f t="shared" si="0"/>
        <v>1887500</v>
      </c>
      <c r="D22" s="246">
        <f t="shared" si="1"/>
        <v>12500</v>
      </c>
      <c r="E22" s="247">
        <f t="shared" si="2"/>
        <v>33031.25000000001</v>
      </c>
      <c r="F22" s="247"/>
      <c r="G22" s="247"/>
      <c r="H22" s="14">
        <v>50000</v>
      </c>
    </row>
    <row r="23" spans="1:7" ht="15">
      <c r="A23" s="243" t="s">
        <v>26</v>
      </c>
      <c r="B23" s="244">
        <v>90</v>
      </c>
      <c r="C23" s="245">
        <f t="shared" si="0"/>
        <v>1875000</v>
      </c>
      <c r="D23" s="246">
        <f t="shared" si="1"/>
        <v>12500</v>
      </c>
      <c r="E23" s="247">
        <f t="shared" si="2"/>
        <v>32812.50000000001</v>
      </c>
      <c r="F23" s="247"/>
      <c r="G23" s="247"/>
    </row>
    <row r="24" spans="1:7" ht="15.75" thickBot="1">
      <c r="A24" s="248" t="s">
        <v>27</v>
      </c>
      <c r="B24" s="249">
        <v>90</v>
      </c>
      <c r="C24" s="250">
        <f t="shared" si="0"/>
        <v>1862500</v>
      </c>
      <c r="D24" s="251">
        <f t="shared" si="1"/>
        <v>12500</v>
      </c>
      <c r="E24" s="252">
        <f t="shared" si="2"/>
        <v>32593.750000000004</v>
      </c>
      <c r="F24" s="252">
        <f>SUM(D21:D24)</f>
        <v>50000</v>
      </c>
      <c r="G24" s="252">
        <v>159688</v>
      </c>
    </row>
    <row r="25" spans="1:7" s="17" customFormat="1" ht="15">
      <c r="A25" s="265" t="s">
        <v>28</v>
      </c>
      <c r="B25" s="266">
        <v>90</v>
      </c>
      <c r="C25" s="267">
        <f t="shared" si="0"/>
        <v>1850000</v>
      </c>
      <c r="D25" s="241">
        <f t="shared" si="1"/>
        <v>12500</v>
      </c>
      <c r="E25" s="242">
        <f t="shared" si="2"/>
        <v>32375.000000000004</v>
      </c>
      <c r="F25" s="268"/>
      <c r="G25" s="268"/>
    </row>
    <row r="26" spans="1:8" s="17" customFormat="1" ht="15">
      <c r="A26" s="253" t="s">
        <v>29</v>
      </c>
      <c r="B26" s="254">
        <v>90</v>
      </c>
      <c r="C26" s="269">
        <f t="shared" si="0"/>
        <v>1837500</v>
      </c>
      <c r="D26" s="246"/>
      <c r="E26" s="247">
        <f t="shared" si="2"/>
        <v>32156.250000000004</v>
      </c>
      <c r="F26" s="255"/>
      <c r="G26" s="255"/>
      <c r="H26" s="18">
        <f>SUM(D25:D28)</f>
        <v>25000</v>
      </c>
    </row>
    <row r="27" spans="1:7" s="17" customFormat="1" ht="15">
      <c r="A27" s="253" t="s">
        <v>30</v>
      </c>
      <c r="B27" s="254">
        <v>90</v>
      </c>
      <c r="C27" s="269">
        <f t="shared" si="0"/>
        <v>1837500</v>
      </c>
      <c r="D27" s="246">
        <v>12500</v>
      </c>
      <c r="E27" s="247">
        <f t="shared" si="2"/>
        <v>32156.250000000004</v>
      </c>
      <c r="F27" s="255"/>
      <c r="G27" s="255"/>
    </row>
    <row r="28" spans="1:7" s="17" customFormat="1" ht="15.75" thickBot="1">
      <c r="A28" s="256" t="s">
        <v>31</v>
      </c>
      <c r="B28" s="257">
        <v>90</v>
      </c>
      <c r="C28" s="270">
        <f t="shared" si="0"/>
        <v>1825000</v>
      </c>
      <c r="D28" s="251"/>
      <c r="E28" s="252">
        <f t="shared" si="2"/>
        <v>31937.500000000004</v>
      </c>
      <c r="F28" s="258">
        <f>SUM(D25:D28)</f>
        <v>25000</v>
      </c>
      <c r="G28" s="258">
        <f>SUM(E25:E28)</f>
        <v>128625.00000000001</v>
      </c>
    </row>
    <row r="29" spans="1:8" ht="15">
      <c r="A29" s="238" t="s">
        <v>32</v>
      </c>
      <c r="B29" s="239">
        <v>90</v>
      </c>
      <c r="C29" s="240">
        <f t="shared" si="0"/>
        <v>1825000</v>
      </c>
      <c r="D29" s="241">
        <v>12500</v>
      </c>
      <c r="E29" s="242">
        <f t="shared" si="2"/>
        <v>31937.500000000004</v>
      </c>
      <c r="F29" s="242"/>
      <c r="G29" s="242"/>
      <c r="H29" s="236">
        <f>C29/12</f>
        <v>152083.33333333334</v>
      </c>
    </row>
    <row r="30" spans="1:8" ht="15">
      <c r="A30" s="243" t="s">
        <v>33</v>
      </c>
      <c r="B30" s="244">
        <v>90</v>
      </c>
      <c r="C30" s="245">
        <f t="shared" si="0"/>
        <v>1812500</v>
      </c>
      <c r="D30" s="246">
        <v>12500</v>
      </c>
      <c r="E30" s="247">
        <f t="shared" si="2"/>
        <v>31718.750000000004</v>
      </c>
      <c r="F30" s="247"/>
      <c r="G30" s="247"/>
      <c r="H30" s="14">
        <f>SUM(D29:D32)</f>
        <v>50528</v>
      </c>
    </row>
    <row r="31" spans="1:7" ht="15">
      <c r="A31" s="243" t="s">
        <v>34</v>
      </c>
      <c r="B31" s="244">
        <v>90</v>
      </c>
      <c r="C31" s="245">
        <f t="shared" si="0"/>
        <v>1800000</v>
      </c>
      <c r="D31" s="246">
        <v>13028</v>
      </c>
      <c r="E31" s="247">
        <f t="shared" si="2"/>
        <v>31500.000000000004</v>
      </c>
      <c r="F31" s="247"/>
      <c r="G31" s="247"/>
    </row>
    <row r="32" spans="1:7" ht="15.75" thickBot="1">
      <c r="A32" s="248" t="s">
        <v>35</v>
      </c>
      <c r="B32" s="249">
        <v>90</v>
      </c>
      <c r="C32" s="250">
        <f t="shared" si="0"/>
        <v>1786972</v>
      </c>
      <c r="D32" s="251">
        <v>12500</v>
      </c>
      <c r="E32" s="252">
        <f t="shared" si="2"/>
        <v>31272.010000000006</v>
      </c>
      <c r="F32" s="252">
        <f>SUM(D29:D32)</f>
        <v>50528</v>
      </c>
      <c r="G32" s="252">
        <f>SUM(E29:E32)</f>
        <v>126428.26000000002</v>
      </c>
    </row>
    <row r="33" spans="1:7" s="17" customFormat="1" ht="15">
      <c r="A33" s="265" t="s">
        <v>36</v>
      </c>
      <c r="B33" s="266">
        <v>90</v>
      </c>
      <c r="C33" s="267">
        <f t="shared" si="0"/>
        <v>1774472</v>
      </c>
      <c r="D33" s="271">
        <v>150000</v>
      </c>
      <c r="E33" s="268">
        <f t="shared" si="2"/>
        <v>31053.260000000006</v>
      </c>
      <c r="F33" s="268"/>
      <c r="G33" s="268"/>
    </row>
    <row r="34" spans="1:8" s="17" customFormat="1" ht="15">
      <c r="A34" s="253" t="s">
        <v>37</v>
      </c>
      <c r="B34" s="254">
        <v>90</v>
      </c>
      <c r="C34" s="269">
        <f t="shared" si="0"/>
        <v>1624472</v>
      </c>
      <c r="D34" s="272">
        <f>D33</f>
        <v>150000</v>
      </c>
      <c r="E34" s="255">
        <f t="shared" si="2"/>
        <v>28428.260000000006</v>
      </c>
      <c r="F34" s="255"/>
      <c r="G34" s="255"/>
      <c r="H34" s="18">
        <f>SUM(D33:D36)</f>
        <v>750523</v>
      </c>
    </row>
    <row r="35" spans="1:7" s="17" customFormat="1" ht="15">
      <c r="A35" s="253" t="s">
        <v>38</v>
      </c>
      <c r="B35" s="254">
        <v>90</v>
      </c>
      <c r="C35" s="269">
        <f t="shared" si="0"/>
        <v>1474472</v>
      </c>
      <c r="D35" s="272">
        <v>225000</v>
      </c>
      <c r="E35" s="255">
        <f t="shared" si="2"/>
        <v>25803.260000000006</v>
      </c>
      <c r="F35" s="255"/>
      <c r="G35" s="255"/>
    </row>
    <row r="36" spans="1:7" s="17" customFormat="1" ht="15.75" thickBot="1">
      <c r="A36" s="259" t="s">
        <v>39</v>
      </c>
      <c r="B36" s="260">
        <v>90</v>
      </c>
      <c r="C36" s="274">
        <f t="shared" si="0"/>
        <v>1249472</v>
      </c>
      <c r="D36" s="275">
        <v>225523</v>
      </c>
      <c r="E36" s="264">
        <f t="shared" si="2"/>
        <v>21865.760000000002</v>
      </c>
      <c r="F36" s="264">
        <f>SUM(D33:D36)</f>
        <v>750523</v>
      </c>
      <c r="G36" s="264">
        <f>SUM(E33:E36)</f>
        <v>107150.54000000001</v>
      </c>
    </row>
    <row r="37" spans="1:7" ht="15">
      <c r="A37" s="238" t="s">
        <v>40</v>
      </c>
      <c r="B37" s="239">
        <v>90</v>
      </c>
      <c r="C37" s="240">
        <f t="shared" si="0"/>
        <v>1023949</v>
      </c>
      <c r="D37" s="271">
        <v>150000</v>
      </c>
      <c r="E37" s="242">
        <f>B37*C37*0.07/360</f>
        <v>17919.107500000002</v>
      </c>
      <c r="F37" s="242"/>
      <c r="G37" s="242"/>
    </row>
    <row r="38" spans="1:8" ht="15">
      <c r="A38" s="243" t="s">
        <v>41</v>
      </c>
      <c r="B38" s="244">
        <v>90</v>
      </c>
      <c r="C38" s="245">
        <f t="shared" si="0"/>
        <v>873949</v>
      </c>
      <c r="D38" s="272">
        <v>150000</v>
      </c>
      <c r="E38" s="247">
        <f t="shared" si="2"/>
        <v>15294.1075</v>
      </c>
      <c r="F38" s="247"/>
      <c r="G38" s="247"/>
      <c r="H38" s="14">
        <f>SUM(D37:D40)</f>
        <v>600000</v>
      </c>
    </row>
    <row r="39" spans="1:7" ht="15">
      <c r="A39" s="243" t="s">
        <v>42</v>
      </c>
      <c r="B39" s="244">
        <v>90</v>
      </c>
      <c r="C39" s="245">
        <f t="shared" si="0"/>
        <v>723949</v>
      </c>
      <c r="D39" s="272">
        <v>150000</v>
      </c>
      <c r="E39" s="247">
        <f t="shared" si="2"/>
        <v>12669.1075</v>
      </c>
      <c r="F39" s="247"/>
      <c r="G39" s="247"/>
    </row>
    <row r="40" spans="1:7" ht="15.75" thickBot="1">
      <c r="A40" s="248" t="s">
        <v>43</v>
      </c>
      <c r="B40" s="249">
        <v>90</v>
      </c>
      <c r="C40" s="250">
        <f>C39-D39</f>
        <v>573949</v>
      </c>
      <c r="D40" s="273">
        <f>D39</f>
        <v>150000</v>
      </c>
      <c r="E40" s="252">
        <f t="shared" si="2"/>
        <v>10044.1075</v>
      </c>
      <c r="F40" s="252">
        <f>SUM(D37:D40)</f>
        <v>600000</v>
      </c>
      <c r="G40" s="252">
        <f>SUM(E37:E40)</f>
        <v>55926.43</v>
      </c>
    </row>
    <row r="41" spans="1:7" ht="15">
      <c r="A41" s="238" t="s">
        <v>44</v>
      </c>
      <c r="B41" s="239">
        <v>90</v>
      </c>
      <c r="C41" s="240">
        <f>C40-D40</f>
        <v>423949</v>
      </c>
      <c r="D41" s="271">
        <v>100000</v>
      </c>
      <c r="E41" s="242">
        <f>B41*C41*0.07/360</f>
        <v>7419.1075</v>
      </c>
      <c r="F41" s="242"/>
      <c r="G41" s="242"/>
    </row>
    <row r="42" spans="1:8" ht="15">
      <c r="A42" s="243" t="s">
        <v>45</v>
      </c>
      <c r="B42" s="244">
        <v>90</v>
      </c>
      <c r="C42" s="245">
        <f>C41-D41</f>
        <v>323949</v>
      </c>
      <c r="D42" s="272">
        <v>100000</v>
      </c>
      <c r="E42" s="247">
        <f>B42*C42*0.07/360</f>
        <v>5669.1075</v>
      </c>
      <c r="F42" s="247"/>
      <c r="G42" s="247"/>
      <c r="H42" s="14">
        <f>SUM(D41:D44)</f>
        <v>423949</v>
      </c>
    </row>
    <row r="43" spans="1:7" ht="15">
      <c r="A43" s="243" t="s">
        <v>46</v>
      </c>
      <c r="B43" s="244">
        <v>90</v>
      </c>
      <c r="C43" s="245">
        <f>C42-D42</f>
        <v>223949</v>
      </c>
      <c r="D43" s="272">
        <v>123949</v>
      </c>
      <c r="E43" s="247">
        <f>B43*C43*0.07/360</f>
        <v>3919.1075000000005</v>
      </c>
      <c r="F43" s="247"/>
      <c r="G43" s="247"/>
    </row>
    <row r="44" spans="1:7" ht="15.75" thickBot="1">
      <c r="A44" s="248" t="s">
        <v>47</v>
      </c>
      <c r="B44" s="249">
        <v>90</v>
      </c>
      <c r="C44" s="250">
        <f>C43-D43</f>
        <v>100000</v>
      </c>
      <c r="D44" s="273">
        <v>100000</v>
      </c>
      <c r="E44" s="252">
        <f>B44*C44*0.07/360</f>
        <v>1750.0000000000002</v>
      </c>
      <c r="F44" s="252">
        <f>SUM(D41:D44)</f>
        <v>423949</v>
      </c>
      <c r="G44" s="252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17">
      <selection activeCell="H50" sqref="H50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37" t="s">
        <v>221</v>
      </c>
      <c r="B1" s="537"/>
      <c r="C1" s="537"/>
      <c r="D1" s="537"/>
      <c r="E1" s="537"/>
      <c r="F1" s="537"/>
      <c r="G1" s="544"/>
      <c r="H1" s="540" t="s">
        <v>226</v>
      </c>
      <c r="I1" s="542" t="s">
        <v>225</v>
      </c>
      <c r="J1" s="538" t="s">
        <v>223</v>
      </c>
      <c r="K1" s="539"/>
    </row>
    <row r="2" spans="1:11" ht="24" customHeight="1" thickBot="1">
      <c r="A2" s="545"/>
      <c r="B2" s="545"/>
      <c r="C2" s="545"/>
      <c r="D2" s="545"/>
      <c r="E2" s="545"/>
      <c r="F2" s="545"/>
      <c r="G2" s="546"/>
      <c r="H2" s="541"/>
      <c r="I2" s="543"/>
      <c r="J2" s="314" t="s">
        <v>227</v>
      </c>
      <c r="K2" s="315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76" t="s">
        <v>5</v>
      </c>
      <c r="H3" s="286"/>
      <c r="I3" s="286"/>
      <c r="J3" s="316"/>
      <c r="K3" s="316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77"/>
      <c r="H4" s="287">
        <v>2000000</v>
      </c>
      <c r="I4" s="287">
        <v>1265000</v>
      </c>
      <c r="J4" s="306">
        <f>H4+F4</f>
        <v>2000000</v>
      </c>
      <c r="K4" s="306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237">
        <f>B5*C5*5.5%/360</f>
        <v>158125</v>
      </c>
      <c r="F5" s="237">
        <v>0</v>
      </c>
      <c r="G5" s="278">
        <f>E4+E5</f>
        <v>158125</v>
      </c>
      <c r="H5" s="286"/>
      <c r="I5" s="286"/>
      <c r="J5" s="316"/>
      <c r="K5" s="316"/>
    </row>
    <row r="6" spans="1:11" s="2" customFormat="1" ht="15">
      <c r="A6" s="238" t="s">
        <v>8</v>
      </c>
      <c r="B6" s="239">
        <v>90</v>
      </c>
      <c r="C6" s="240">
        <v>18400000</v>
      </c>
      <c r="D6" s="241"/>
      <c r="E6" s="242">
        <f>B6*C6*0.07/360</f>
        <v>322000.00000000006</v>
      </c>
      <c r="F6" s="242"/>
      <c r="G6" s="279"/>
      <c r="H6" s="288"/>
      <c r="I6" s="288"/>
      <c r="J6" s="317"/>
      <c r="K6" s="317"/>
    </row>
    <row r="7" spans="1:11" ht="15">
      <c r="A7" s="243" t="s">
        <v>9</v>
      </c>
      <c r="B7" s="244">
        <v>90</v>
      </c>
      <c r="C7" s="245">
        <f aca="true" t="shared" si="0" ref="C7:C40">C6-D6</f>
        <v>18400000</v>
      </c>
      <c r="D7" s="246"/>
      <c r="E7" s="247">
        <f>B7*C7*0.07/360</f>
        <v>322000.00000000006</v>
      </c>
      <c r="F7" s="247"/>
      <c r="G7" s="280"/>
      <c r="H7" s="287">
        <f>SUM(D6:D9)</f>
        <v>0</v>
      </c>
      <c r="I7" s="286"/>
      <c r="J7" s="316"/>
      <c r="K7" s="316"/>
    </row>
    <row r="8" spans="1:11" ht="15">
      <c r="A8" s="243" t="s">
        <v>10</v>
      </c>
      <c r="B8" s="244">
        <v>90</v>
      </c>
      <c r="C8" s="245">
        <f t="shared" si="0"/>
        <v>18400000</v>
      </c>
      <c r="D8" s="246"/>
      <c r="E8" s="247">
        <f aca="true" t="shared" si="1" ref="E8:E41">B8*C8*0.07/360</f>
        <v>322000.00000000006</v>
      </c>
      <c r="F8" s="247"/>
      <c r="G8" s="280"/>
      <c r="H8" s="286"/>
      <c r="I8" s="286"/>
      <c r="J8" s="316"/>
      <c r="K8" s="316"/>
    </row>
    <row r="9" spans="1:11" ht="15.75" thickBot="1">
      <c r="A9" s="248" t="s">
        <v>11</v>
      </c>
      <c r="B9" s="249">
        <v>90</v>
      </c>
      <c r="C9" s="250">
        <f t="shared" si="0"/>
        <v>18400000</v>
      </c>
      <c r="D9" s="251"/>
      <c r="E9" s="252">
        <f t="shared" si="1"/>
        <v>322000.00000000006</v>
      </c>
      <c r="F9" s="252">
        <f>D7+D8+D9+D6</f>
        <v>0</v>
      </c>
      <c r="G9" s="281">
        <f>SUM(E6:E9)</f>
        <v>1288000.0000000002</v>
      </c>
      <c r="H9" s="287">
        <v>3000000</v>
      </c>
      <c r="I9" s="287">
        <v>1155000</v>
      </c>
      <c r="J9" s="306">
        <f>H9+F9</f>
        <v>3000000</v>
      </c>
      <c r="K9" s="306">
        <f>I9+G9</f>
        <v>2443000</v>
      </c>
    </row>
    <row r="10" spans="1:11" ht="15">
      <c r="A10" s="238" t="s">
        <v>12</v>
      </c>
      <c r="B10" s="239">
        <v>90</v>
      </c>
      <c r="C10" s="240">
        <f t="shared" si="0"/>
        <v>18400000</v>
      </c>
      <c r="D10" s="241"/>
      <c r="E10" s="242">
        <f t="shared" si="1"/>
        <v>322000.00000000006</v>
      </c>
      <c r="F10" s="242"/>
      <c r="G10" s="279"/>
      <c r="H10" s="286"/>
      <c r="I10" s="286"/>
      <c r="J10" s="306">
        <f aca="true" t="shared" si="2" ref="J10:J45">H10+F10</f>
        <v>0</v>
      </c>
      <c r="K10" s="306">
        <f aca="true" t="shared" si="3" ref="K10:K45">I10+G10</f>
        <v>0</v>
      </c>
    </row>
    <row r="11" spans="1:11" ht="15">
      <c r="A11" s="243" t="s">
        <v>13</v>
      </c>
      <c r="B11" s="244">
        <v>90</v>
      </c>
      <c r="C11" s="245">
        <f t="shared" si="0"/>
        <v>18400000</v>
      </c>
      <c r="D11" s="246"/>
      <c r="E11" s="247">
        <f t="shared" si="1"/>
        <v>322000.00000000006</v>
      </c>
      <c r="F11" s="247"/>
      <c r="G11" s="280"/>
      <c r="H11" s="287"/>
      <c r="I11" s="286"/>
      <c r="J11" s="306">
        <f t="shared" si="2"/>
        <v>0</v>
      </c>
      <c r="K11" s="306">
        <f t="shared" si="3"/>
        <v>0</v>
      </c>
    </row>
    <row r="12" spans="1:11" ht="15">
      <c r="A12" s="243" t="s">
        <v>14</v>
      </c>
      <c r="B12" s="244">
        <v>90</v>
      </c>
      <c r="C12" s="245">
        <f t="shared" si="0"/>
        <v>18400000</v>
      </c>
      <c r="D12" s="246"/>
      <c r="E12" s="247">
        <f t="shared" si="1"/>
        <v>322000.00000000006</v>
      </c>
      <c r="F12" s="247"/>
      <c r="G12" s="280"/>
      <c r="H12" s="286"/>
      <c r="I12" s="286"/>
      <c r="J12" s="306">
        <f t="shared" si="2"/>
        <v>0</v>
      </c>
      <c r="K12" s="306">
        <f t="shared" si="3"/>
        <v>0</v>
      </c>
    </row>
    <row r="13" spans="1:11" ht="15.75" thickBot="1">
      <c r="A13" s="248" t="s">
        <v>15</v>
      </c>
      <c r="B13" s="249">
        <v>90</v>
      </c>
      <c r="C13" s="250">
        <f t="shared" si="0"/>
        <v>18400000</v>
      </c>
      <c r="D13" s="251"/>
      <c r="E13" s="252">
        <f t="shared" si="1"/>
        <v>322000.00000000006</v>
      </c>
      <c r="F13" s="252">
        <f>SUM(D10:D13)</f>
        <v>0</v>
      </c>
      <c r="G13" s="281">
        <f>SUM(E10:E13)</f>
        <v>1288000.0000000002</v>
      </c>
      <c r="H13" s="287">
        <v>3000000</v>
      </c>
      <c r="I13" s="287">
        <v>990000</v>
      </c>
      <c r="J13" s="306">
        <f>H13+F13</f>
        <v>3000000</v>
      </c>
      <c r="K13" s="306">
        <f t="shared" si="3"/>
        <v>2278000</v>
      </c>
    </row>
    <row r="14" spans="1:11" ht="15">
      <c r="A14" s="238" t="s">
        <v>16</v>
      </c>
      <c r="B14" s="239">
        <v>90</v>
      </c>
      <c r="C14" s="240">
        <f t="shared" si="0"/>
        <v>18400000</v>
      </c>
      <c r="D14" s="241"/>
      <c r="E14" s="242">
        <f t="shared" si="1"/>
        <v>322000.00000000006</v>
      </c>
      <c r="F14" s="242"/>
      <c r="G14" s="279"/>
      <c r="H14" s="286"/>
      <c r="I14" s="287"/>
      <c r="J14" s="306">
        <f t="shared" si="2"/>
        <v>0</v>
      </c>
      <c r="K14" s="306">
        <f t="shared" si="3"/>
        <v>0</v>
      </c>
    </row>
    <row r="15" spans="1:11" ht="15">
      <c r="A15" s="243" t="s">
        <v>17</v>
      </c>
      <c r="B15" s="244">
        <v>90</v>
      </c>
      <c r="C15" s="245">
        <f t="shared" si="0"/>
        <v>18400000</v>
      </c>
      <c r="D15" s="246"/>
      <c r="E15" s="247">
        <f t="shared" si="1"/>
        <v>322000.00000000006</v>
      </c>
      <c r="F15" s="247"/>
      <c r="G15" s="280"/>
      <c r="H15" s="287"/>
      <c r="I15" s="286"/>
      <c r="J15" s="306">
        <f t="shared" si="2"/>
        <v>0</v>
      </c>
      <c r="K15" s="306">
        <f t="shared" si="3"/>
        <v>0</v>
      </c>
    </row>
    <row r="16" spans="1:11" ht="15">
      <c r="A16" s="243" t="s">
        <v>18</v>
      </c>
      <c r="B16" s="244">
        <v>90</v>
      </c>
      <c r="C16" s="245">
        <f t="shared" si="0"/>
        <v>18400000</v>
      </c>
      <c r="D16" s="246"/>
      <c r="E16" s="247">
        <f t="shared" si="1"/>
        <v>322000.00000000006</v>
      </c>
      <c r="F16" s="247"/>
      <c r="G16" s="280"/>
      <c r="H16" s="286"/>
      <c r="I16" s="286"/>
      <c r="J16" s="306">
        <f t="shared" si="2"/>
        <v>0</v>
      </c>
      <c r="K16" s="306">
        <f t="shared" si="3"/>
        <v>0</v>
      </c>
    </row>
    <row r="17" spans="1:11" ht="15.75" thickBot="1">
      <c r="A17" s="248" t="s">
        <v>19</v>
      </c>
      <c r="B17" s="249">
        <v>90</v>
      </c>
      <c r="C17" s="250">
        <f t="shared" si="0"/>
        <v>18400000</v>
      </c>
      <c r="D17" s="251"/>
      <c r="E17" s="252">
        <f t="shared" si="1"/>
        <v>322000.00000000006</v>
      </c>
      <c r="F17" s="252">
        <f>SUM(D14:D17)</f>
        <v>0</v>
      </c>
      <c r="G17" s="281">
        <f>SUM(E14:E17)</f>
        <v>1288000.0000000002</v>
      </c>
      <c r="H17" s="287">
        <v>3000000</v>
      </c>
      <c r="I17" s="287">
        <v>825000</v>
      </c>
      <c r="J17" s="306">
        <f t="shared" si="2"/>
        <v>3000000</v>
      </c>
      <c r="K17" s="306">
        <f t="shared" si="3"/>
        <v>2113000</v>
      </c>
    </row>
    <row r="18" spans="1:30" ht="15">
      <c r="A18" s="238" t="s">
        <v>20</v>
      </c>
      <c r="B18" s="239">
        <v>90</v>
      </c>
      <c r="C18" s="240">
        <f t="shared" si="0"/>
        <v>18400000</v>
      </c>
      <c r="D18" s="241"/>
      <c r="E18" s="242">
        <f t="shared" si="1"/>
        <v>322000.00000000006</v>
      </c>
      <c r="F18" s="242"/>
      <c r="G18" s="279"/>
      <c r="H18" s="286"/>
      <c r="I18" s="286"/>
      <c r="J18" s="306">
        <f t="shared" si="2"/>
        <v>0</v>
      </c>
      <c r="K18" s="306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243" t="s">
        <v>21</v>
      </c>
      <c r="B19" s="244">
        <v>90</v>
      </c>
      <c r="C19" s="245">
        <f t="shared" si="0"/>
        <v>18400000</v>
      </c>
      <c r="D19" s="246"/>
      <c r="E19" s="247">
        <f t="shared" si="1"/>
        <v>322000.00000000006</v>
      </c>
      <c r="F19" s="247"/>
      <c r="G19" s="280"/>
      <c r="H19" s="287"/>
      <c r="I19" s="286"/>
      <c r="J19" s="306">
        <f t="shared" si="2"/>
        <v>0</v>
      </c>
      <c r="K19" s="306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253" t="s">
        <v>22</v>
      </c>
      <c r="B20" s="254">
        <v>90</v>
      </c>
      <c r="C20" s="245">
        <f t="shared" si="0"/>
        <v>18400000</v>
      </c>
      <c r="D20" s="246"/>
      <c r="E20" s="247">
        <f t="shared" si="1"/>
        <v>322000.00000000006</v>
      </c>
      <c r="F20" s="255"/>
      <c r="G20" s="282"/>
      <c r="H20" s="289"/>
      <c r="I20" s="290"/>
      <c r="J20" s="306">
        <f t="shared" si="2"/>
        <v>0</v>
      </c>
      <c r="K20" s="306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56" t="s">
        <v>23</v>
      </c>
      <c r="B21" s="257">
        <v>90</v>
      </c>
      <c r="C21" s="250">
        <f t="shared" si="0"/>
        <v>18400000</v>
      </c>
      <c r="D21" s="251"/>
      <c r="E21" s="252">
        <f t="shared" si="1"/>
        <v>322000.00000000006</v>
      </c>
      <c r="F21" s="258">
        <f>SUM(D18:D21)</f>
        <v>0</v>
      </c>
      <c r="G21" s="283">
        <f>SUM(E18:E21)</f>
        <v>1288000.0000000002</v>
      </c>
      <c r="H21" s="287">
        <v>3000000</v>
      </c>
      <c r="I21" s="291">
        <v>660000</v>
      </c>
      <c r="J21" s="306">
        <f t="shared" si="2"/>
        <v>3000000</v>
      </c>
      <c r="K21" s="306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238" t="s">
        <v>24</v>
      </c>
      <c r="B22" s="239">
        <v>90</v>
      </c>
      <c r="C22" s="240">
        <f t="shared" si="0"/>
        <v>18400000</v>
      </c>
      <c r="D22" s="241"/>
      <c r="E22" s="242">
        <f t="shared" si="1"/>
        <v>322000.00000000006</v>
      </c>
      <c r="F22" s="242"/>
      <c r="G22" s="279"/>
      <c r="H22" s="286"/>
      <c r="I22" s="286"/>
      <c r="J22" s="306">
        <f t="shared" si="2"/>
        <v>0</v>
      </c>
      <c r="K22" s="306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243" t="s">
        <v>25</v>
      </c>
      <c r="B23" s="244">
        <v>90</v>
      </c>
      <c r="C23" s="245">
        <f t="shared" si="0"/>
        <v>18400000</v>
      </c>
      <c r="D23" s="246"/>
      <c r="E23" s="247">
        <f t="shared" si="1"/>
        <v>322000.00000000006</v>
      </c>
      <c r="F23" s="247"/>
      <c r="G23" s="280"/>
      <c r="H23" s="287"/>
      <c r="I23" s="286"/>
      <c r="J23" s="306">
        <f t="shared" si="2"/>
        <v>0</v>
      </c>
      <c r="K23" s="306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243" t="s">
        <v>26</v>
      </c>
      <c r="B24" s="244">
        <v>90</v>
      </c>
      <c r="C24" s="245">
        <f t="shared" si="0"/>
        <v>18400000</v>
      </c>
      <c r="D24" s="246"/>
      <c r="E24" s="247">
        <f t="shared" si="1"/>
        <v>322000.00000000006</v>
      </c>
      <c r="F24" s="247"/>
      <c r="G24" s="280"/>
      <c r="H24" s="286"/>
      <c r="I24" s="286"/>
      <c r="J24" s="306">
        <f t="shared" si="2"/>
        <v>0</v>
      </c>
      <c r="K24" s="306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248" t="s">
        <v>27</v>
      </c>
      <c r="B25" s="249">
        <v>90</v>
      </c>
      <c r="C25" s="250">
        <f t="shared" si="0"/>
        <v>18400000</v>
      </c>
      <c r="D25" s="251"/>
      <c r="E25" s="252">
        <f t="shared" si="1"/>
        <v>322000.00000000006</v>
      </c>
      <c r="F25" s="252">
        <f>SUM(D22:D25)</f>
        <v>0</v>
      </c>
      <c r="G25" s="281">
        <f>SUM(E22:E25)</f>
        <v>1288000.0000000002</v>
      </c>
      <c r="H25" s="287">
        <v>3000000</v>
      </c>
      <c r="I25" s="287">
        <v>495000</v>
      </c>
      <c r="J25" s="306">
        <f t="shared" si="2"/>
        <v>3000000</v>
      </c>
      <c r="K25" s="306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65" t="s">
        <v>28</v>
      </c>
      <c r="B26" s="266">
        <v>90</v>
      </c>
      <c r="C26" s="267">
        <f t="shared" si="0"/>
        <v>18400000</v>
      </c>
      <c r="D26" s="241"/>
      <c r="E26" s="242">
        <f t="shared" si="1"/>
        <v>322000.00000000006</v>
      </c>
      <c r="F26" s="268"/>
      <c r="G26" s="284"/>
      <c r="H26" s="290"/>
      <c r="I26" s="290"/>
      <c r="J26" s="306">
        <f t="shared" si="2"/>
        <v>0</v>
      </c>
      <c r="K26" s="306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253" t="s">
        <v>29</v>
      </c>
      <c r="B27" s="254">
        <v>90</v>
      </c>
      <c r="C27" s="269">
        <f t="shared" si="0"/>
        <v>18400000</v>
      </c>
      <c r="D27" s="246"/>
      <c r="E27" s="247">
        <f t="shared" si="1"/>
        <v>322000.00000000006</v>
      </c>
      <c r="F27" s="255"/>
      <c r="G27" s="282"/>
      <c r="H27" s="291"/>
      <c r="I27" s="290"/>
      <c r="J27" s="306">
        <f t="shared" si="2"/>
        <v>0</v>
      </c>
      <c r="K27" s="306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253" t="s">
        <v>30</v>
      </c>
      <c r="B28" s="254">
        <v>90</v>
      </c>
      <c r="C28" s="269">
        <f t="shared" si="0"/>
        <v>18400000</v>
      </c>
      <c r="D28" s="246"/>
      <c r="E28" s="247">
        <f t="shared" si="1"/>
        <v>322000.00000000006</v>
      </c>
      <c r="F28" s="255"/>
      <c r="G28" s="282"/>
      <c r="H28" s="290"/>
      <c r="I28" s="290"/>
      <c r="J28" s="306">
        <f t="shared" si="2"/>
        <v>0</v>
      </c>
      <c r="K28" s="306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59" t="s">
        <v>31</v>
      </c>
      <c r="B29" s="260">
        <v>90</v>
      </c>
      <c r="C29" s="274">
        <f t="shared" si="0"/>
        <v>18400000</v>
      </c>
      <c r="D29" s="262"/>
      <c r="E29" s="263">
        <f t="shared" si="1"/>
        <v>322000.00000000006</v>
      </c>
      <c r="F29" s="264">
        <f>SUM(D26:D29)</f>
        <v>0</v>
      </c>
      <c r="G29" s="285">
        <f>SUM(E26:E29)</f>
        <v>1288000.0000000002</v>
      </c>
      <c r="H29" s="287">
        <v>3000000</v>
      </c>
      <c r="I29" s="291">
        <v>360000</v>
      </c>
      <c r="J29" s="306">
        <f t="shared" si="2"/>
        <v>3000000</v>
      </c>
      <c r="K29" s="306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238" t="s">
        <v>32</v>
      </c>
      <c r="B30" s="239">
        <v>90</v>
      </c>
      <c r="C30" s="240">
        <f t="shared" si="0"/>
        <v>18400000</v>
      </c>
      <c r="D30" s="241">
        <v>500000</v>
      </c>
      <c r="E30" s="242">
        <f t="shared" si="1"/>
        <v>322000.00000000006</v>
      </c>
      <c r="F30" s="242"/>
      <c r="G30" s="279"/>
      <c r="H30" s="292"/>
      <c r="I30" s="286"/>
      <c r="J30" s="306">
        <f t="shared" si="2"/>
        <v>0</v>
      </c>
      <c r="K30" s="306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243" t="s">
        <v>33</v>
      </c>
      <c r="B31" s="244">
        <v>90</v>
      </c>
      <c r="C31" s="245">
        <f t="shared" si="0"/>
        <v>17900000</v>
      </c>
      <c r="D31" s="246">
        <v>500000</v>
      </c>
      <c r="E31" s="247">
        <f t="shared" si="1"/>
        <v>313250.00000000006</v>
      </c>
      <c r="F31" s="247"/>
      <c r="G31" s="280"/>
      <c r="H31" s="287"/>
      <c r="I31" s="286"/>
      <c r="J31" s="306">
        <f t="shared" si="2"/>
        <v>0</v>
      </c>
      <c r="K31" s="306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243" t="s">
        <v>34</v>
      </c>
      <c r="B32" s="244">
        <v>90</v>
      </c>
      <c r="C32" s="245">
        <f t="shared" si="0"/>
        <v>17400000</v>
      </c>
      <c r="D32" s="246">
        <v>500000</v>
      </c>
      <c r="E32" s="247">
        <f t="shared" si="1"/>
        <v>304500.00000000006</v>
      </c>
      <c r="F32" s="247"/>
      <c r="G32" s="280"/>
      <c r="H32" s="286"/>
      <c r="I32" s="286"/>
      <c r="J32" s="306">
        <f t="shared" si="2"/>
        <v>0</v>
      </c>
      <c r="K32" s="306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248" t="s">
        <v>35</v>
      </c>
      <c r="B33" s="249">
        <v>90</v>
      </c>
      <c r="C33" s="250">
        <f t="shared" si="0"/>
        <v>16900000</v>
      </c>
      <c r="D33" s="251">
        <v>500000</v>
      </c>
      <c r="E33" s="252">
        <f t="shared" si="1"/>
        <v>295750.00000000006</v>
      </c>
      <c r="F33" s="252">
        <f>SUM(D30:D33)</f>
        <v>2000000</v>
      </c>
      <c r="G33" s="281">
        <f>SUM(E30:E33)</f>
        <v>1235500.0000000002</v>
      </c>
      <c r="H33" s="287">
        <v>3000000</v>
      </c>
      <c r="I33" s="287">
        <v>180000</v>
      </c>
      <c r="J33" s="306">
        <f t="shared" si="2"/>
        <v>5000000</v>
      </c>
      <c r="K33" s="306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65" t="s">
        <v>36</v>
      </c>
      <c r="B34" s="266">
        <v>90</v>
      </c>
      <c r="C34" s="267">
        <f t="shared" si="0"/>
        <v>16400000</v>
      </c>
      <c r="D34" s="271">
        <v>1475000</v>
      </c>
      <c r="E34" s="268">
        <f t="shared" si="1"/>
        <v>287000.00000000006</v>
      </c>
      <c r="F34" s="268"/>
      <c r="G34" s="284"/>
      <c r="H34" s="290"/>
      <c r="I34" s="290"/>
      <c r="J34" s="306">
        <f t="shared" si="2"/>
        <v>0</v>
      </c>
      <c r="K34" s="306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253" t="s">
        <v>37</v>
      </c>
      <c r="B35" s="254">
        <v>90</v>
      </c>
      <c r="C35" s="269">
        <f t="shared" si="0"/>
        <v>14925000</v>
      </c>
      <c r="D35" s="272">
        <f>D34</f>
        <v>1475000</v>
      </c>
      <c r="E35" s="255">
        <f t="shared" si="1"/>
        <v>261187.50000000003</v>
      </c>
      <c r="F35" s="255"/>
      <c r="G35" s="282"/>
      <c r="H35" s="291"/>
      <c r="I35" s="290"/>
      <c r="J35" s="306">
        <f t="shared" si="2"/>
        <v>0</v>
      </c>
      <c r="K35" s="306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253" t="s">
        <v>38</v>
      </c>
      <c r="B36" s="254">
        <v>90</v>
      </c>
      <c r="C36" s="269">
        <f t="shared" si="0"/>
        <v>13450000</v>
      </c>
      <c r="D36" s="272">
        <v>1725000</v>
      </c>
      <c r="E36" s="255">
        <f t="shared" si="1"/>
        <v>235375.00000000003</v>
      </c>
      <c r="F36" s="255"/>
      <c r="G36" s="282"/>
      <c r="H36" s="290"/>
      <c r="I36" s="290"/>
      <c r="J36" s="306">
        <f t="shared" si="2"/>
        <v>0</v>
      </c>
      <c r="K36" s="306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56" t="s">
        <v>39</v>
      </c>
      <c r="B37" s="257">
        <v>90</v>
      </c>
      <c r="C37" s="270">
        <f t="shared" si="0"/>
        <v>11725000</v>
      </c>
      <c r="D37" s="273">
        <v>1925000</v>
      </c>
      <c r="E37" s="258">
        <f t="shared" si="1"/>
        <v>205187.5</v>
      </c>
      <c r="F37" s="258">
        <f>SUM(D34:D37)</f>
        <v>6600000</v>
      </c>
      <c r="G37" s="283">
        <f>SUM(E34:E37)</f>
        <v>988750.0000000001</v>
      </c>
      <c r="H37" s="287"/>
      <c r="I37" s="290"/>
      <c r="J37" s="306">
        <f t="shared" si="2"/>
        <v>6600000</v>
      </c>
      <c r="K37" s="306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238" t="s">
        <v>40</v>
      </c>
      <c r="B38" s="239">
        <v>90</v>
      </c>
      <c r="C38" s="240">
        <f t="shared" si="0"/>
        <v>9800000</v>
      </c>
      <c r="D38" s="271">
        <v>1250000</v>
      </c>
      <c r="E38" s="242">
        <f>B38*C38*0.07/360</f>
        <v>171500.00000000003</v>
      </c>
      <c r="F38" s="242"/>
      <c r="G38" s="279"/>
      <c r="H38" s="286"/>
      <c r="I38" s="286"/>
      <c r="J38" s="306">
        <f t="shared" si="2"/>
        <v>0</v>
      </c>
      <c r="K38" s="306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243" t="s">
        <v>41</v>
      </c>
      <c r="B39" s="244">
        <v>90</v>
      </c>
      <c r="C39" s="245">
        <f t="shared" si="0"/>
        <v>8550000</v>
      </c>
      <c r="D39" s="272">
        <f>D38</f>
        <v>1250000</v>
      </c>
      <c r="E39" s="247">
        <f t="shared" si="1"/>
        <v>149625.00000000003</v>
      </c>
      <c r="F39" s="247"/>
      <c r="G39" s="280"/>
      <c r="H39" s="287"/>
      <c r="I39" s="286"/>
      <c r="J39" s="306">
        <f t="shared" si="2"/>
        <v>0</v>
      </c>
      <c r="K39" s="306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243" t="s">
        <v>42</v>
      </c>
      <c r="B40" s="244">
        <v>90</v>
      </c>
      <c r="C40" s="245">
        <f t="shared" si="0"/>
        <v>7300000</v>
      </c>
      <c r="D40" s="272">
        <v>1500000</v>
      </c>
      <c r="E40" s="247">
        <f t="shared" si="1"/>
        <v>127750.00000000001</v>
      </c>
      <c r="F40" s="247"/>
      <c r="G40" s="280"/>
      <c r="H40" s="286"/>
      <c r="I40" s="286"/>
      <c r="J40" s="306">
        <f t="shared" si="2"/>
        <v>0</v>
      </c>
      <c r="K40" s="306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248" t="s">
        <v>43</v>
      </c>
      <c r="B41" s="249">
        <v>90</v>
      </c>
      <c r="C41" s="250">
        <f aca="true" t="shared" si="4" ref="C41:C49">C40-D40</f>
        <v>5800000</v>
      </c>
      <c r="D41" s="273">
        <v>1700000</v>
      </c>
      <c r="E41" s="252">
        <f t="shared" si="1"/>
        <v>101500</v>
      </c>
      <c r="F41" s="252">
        <f>SUM(D38:D41)</f>
        <v>5700000</v>
      </c>
      <c r="G41" s="281">
        <f>SUM(E38:E41)</f>
        <v>550375</v>
      </c>
      <c r="H41" s="287"/>
      <c r="I41" s="286"/>
      <c r="J41" s="306">
        <f t="shared" si="2"/>
        <v>5700000</v>
      </c>
      <c r="K41" s="306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238" t="s">
        <v>44</v>
      </c>
      <c r="B42" s="239">
        <v>90</v>
      </c>
      <c r="C42" s="240">
        <f t="shared" si="4"/>
        <v>4100000</v>
      </c>
      <c r="D42" s="271">
        <v>1100000</v>
      </c>
      <c r="E42" s="242">
        <f aca="true" t="shared" si="5" ref="E42:E49">B42*C42*0.07/360</f>
        <v>71750.00000000001</v>
      </c>
      <c r="F42" s="242"/>
      <c r="G42" s="279"/>
      <c r="H42" s="286"/>
      <c r="I42" s="286"/>
      <c r="J42" s="306">
        <f t="shared" si="2"/>
        <v>0</v>
      </c>
      <c r="K42" s="306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243" t="s">
        <v>45</v>
      </c>
      <c r="B43" s="244">
        <v>90</v>
      </c>
      <c r="C43" s="245">
        <f t="shared" si="4"/>
        <v>3000000</v>
      </c>
      <c r="D43" s="272">
        <v>1000000</v>
      </c>
      <c r="E43" s="247">
        <f t="shared" si="5"/>
        <v>52500</v>
      </c>
      <c r="F43" s="247"/>
      <c r="G43" s="280"/>
      <c r="H43" s="287"/>
      <c r="I43" s="286"/>
      <c r="J43" s="306">
        <f t="shared" si="2"/>
        <v>0</v>
      </c>
      <c r="K43" s="306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243" t="s">
        <v>46</v>
      </c>
      <c r="B44" s="244">
        <v>90</v>
      </c>
      <c r="C44" s="245">
        <f t="shared" si="4"/>
        <v>2000000</v>
      </c>
      <c r="D44" s="272">
        <v>1000000</v>
      </c>
      <c r="E44" s="247">
        <f t="shared" si="5"/>
        <v>35000.00000000001</v>
      </c>
      <c r="F44" s="247"/>
      <c r="G44" s="280"/>
      <c r="H44" s="286"/>
      <c r="I44" s="286"/>
      <c r="J44" s="306">
        <f t="shared" si="2"/>
        <v>0</v>
      </c>
      <c r="K44" s="306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248" t="s">
        <v>47</v>
      </c>
      <c r="B45" s="249">
        <v>90</v>
      </c>
      <c r="C45" s="250">
        <f t="shared" si="4"/>
        <v>1000000</v>
      </c>
      <c r="D45" s="273">
        <v>1000000</v>
      </c>
      <c r="E45" s="252">
        <f t="shared" si="5"/>
        <v>17500.000000000004</v>
      </c>
      <c r="F45" s="252">
        <f>SUM(D42:D45)</f>
        <v>4100000</v>
      </c>
      <c r="G45" s="281">
        <f>SUM(E42:E45)</f>
        <v>176750.00000000003</v>
      </c>
      <c r="H45" s="286"/>
      <c r="I45" s="286"/>
      <c r="J45" s="306">
        <f t="shared" si="2"/>
        <v>4100000</v>
      </c>
      <c r="K45" s="306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238" t="s">
        <v>44</v>
      </c>
      <c r="B46" s="239">
        <v>90</v>
      </c>
      <c r="C46" s="240">
        <f t="shared" si="4"/>
        <v>0</v>
      </c>
      <c r="D46" s="271"/>
      <c r="E46" s="242">
        <f t="shared" si="5"/>
        <v>0</v>
      </c>
      <c r="F46" s="242"/>
      <c r="G46" s="279"/>
      <c r="H46" s="286"/>
      <c r="I46" s="286"/>
      <c r="J46" s="306">
        <f aca="true" t="shared" si="6" ref="J46:K49">H46+F46</f>
        <v>0</v>
      </c>
      <c r="K46" s="306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243" t="s">
        <v>45</v>
      </c>
      <c r="B47" s="244">
        <v>90</v>
      </c>
      <c r="C47" s="245">
        <f t="shared" si="4"/>
        <v>0</v>
      </c>
      <c r="D47" s="272"/>
      <c r="E47" s="247">
        <f t="shared" si="5"/>
        <v>0</v>
      </c>
      <c r="F47" s="247"/>
      <c r="G47" s="280"/>
      <c r="H47" s="287"/>
      <c r="I47" s="286"/>
      <c r="J47" s="306">
        <f t="shared" si="6"/>
        <v>0</v>
      </c>
      <c r="K47" s="306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243" t="s">
        <v>46</v>
      </c>
      <c r="B48" s="244">
        <v>90</v>
      </c>
      <c r="C48" s="245">
        <f t="shared" si="4"/>
        <v>0</v>
      </c>
      <c r="D48" s="272"/>
      <c r="E48" s="247">
        <f t="shared" si="5"/>
        <v>0</v>
      </c>
      <c r="F48" s="247"/>
      <c r="G48" s="280"/>
      <c r="H48" s="286"/>
      <c r="I48" s="286"/>
      <c r="J48" s="306">
        <f t="shared" si="6"/>
        <v>0</v>
      </c>
      <c r="K48" s="306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248" t="s">
        <v>47</v>
      </c>
      <c r="B49" s="249">
        <v>90</v>
      </c>
      <c r="C49" s="250">
        <f t="shared" si="4"/>
        <v>0</v>
      </c>
      <c r="D49" s="273"/>
      <c r="E49" s="252">
        <f t="shared" si="5"/>
        <v>0</v>
      </c>
      <c r="F49" s="252">
        <f>SUM(D46:D49)</f>
        <v>0</v>
      </c>
      <c r="G49" s="281">
        <f>SUM(E46:E49)</f>
        <v>0</v>
      </c>
      <c r="H49" s="286"/>
      <c r="I49" s="286"/>
      <c r="J49" s="306">
        <f t="shared" si="6"/>
        <v>0</v>
      </c>
      <c r="K49" s="306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 t="shared" si="7"/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30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318"/>
      <c r="K51" s="3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">
      <selection activeCell="J45" sqref="J45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37" t="s">
        <v>228</v>
      </c>
      <c r="B1" s="537"/>
      <c r="C1" s="537"/>
      <c r="D1" s="537"/>
      <c r="E1" s="537"/>
      <c r="F1" s="537"/>
      <c r="G1" s="537"/>
    </row>
    <row r="2" spans="1:11" ht="8.25" customHeight="1" thickBot="1">
      <c r="A2" s="20"/>
      <c r="B2" s="21"/>
      <c r="C2" s="22"/>
      <c r="D2" s="22"/>
      <c r="E2" s="22"/>
      <c r="F2" s="22"/>
      <c r="G2" s="22"/>
      <c r="J2" s="547" t="s">
        <v>223</v>
      </c>
      <c r="K2" s="547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320" t="s">
        <v>5</v>
      </c>
      <c r="H3" s="331" t="s">
        <v>222</v>
      </c>
      <c r="I3" s="332" t="s">
        <v>3</v>
      </c>
      <c r="J3" s="305" t="s">
        <v>224</v>
      </c>
      <c r="K3" s="305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321"/>
      <c r="H4" s="333">
        <v>2141585</v>
      </c>
      <c r="I4" s="334">
        <v>733601</v>
      </c>
      <c r="J4" s="306">
        <f>H4+'spł poż'!F8</f>
        <v>2191585</v>
      </c>
      <c r="K4" s="306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322">
        <f>E4+E5</f>
        <v>0</v>
      </c>
      <c r="H5" s="335"/>
      <c r="I5" s="336"/>
      <c r="J5" s="307"/>
      <c r="K5" s="307"/>
    </row>
    <row r="6" spans="1:36" s="2" customFormat="1" ht="15">
      <c r="A6" s="238" t="s">
        <v>8</v>
      </c>
      <c r="B6" s="239">
        <v>90</v>
      </c>
      <c r="C6" s="240">
        <f>C5-D5</f>
        <v>0</v>
      </c>
      <c r="D6" s="240">
        <v>0</v>
      </c>
      <c r="E6" s="293">
        <f>B6*C6*5.5%/360</f>
        <v>0</v>
      </c>
      <c r="F6" s="293"/>
      <c r="G6" s="323"/>
      <c r="H6" s="337"/>
      <c r="I6" s="338"/>
      <c r="J6" s="308"/>
      <c r="K6" s="308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243" t="s">
        <v>9</v>
      </c>
      <c r="B7" s="244">
        <v>90</v>
      </c>
      <c r="C7" s="245">
        <f>C6-D6</f>
        <v>0</v>
      </c>
      <c r="D7" s="245">
        <v>0</v>
      </c>
      <c r="E7" s="294">
        <f>B7*C7*5.5%/360</f>
        <v>0</v>
      </c>
      <c r="F7" s="294"/>
      <c r="G7" s="324"/>
      <c r="H7" s="335"/>
      <c r="I7" s="336"/>
      <c r="J7" s="309"/>
      <c r="K7" s="309"/>
    </row>
    <row r="8" spans="1:11" ht="15">
      <c r="A8" s="243" t="s">
        <v>10</v>
      </c>
      <c r="B8" s="244">
        <v>90</v>
      </c>
      <c r="C8" s="245">
        <f>C7-D7</f>
        <v>0</v>
      </c>
      <c r="D8" s="245">
        <v>0</v>
      </c>
      <c r="E8" s="294">
        <f>B8*C8*5.5%/360</f>
        <v>0</v>
      </c>
      <c r="F8" s="294"/>
      <c r="G8" s="324"/>
      <c r="H8" s="335"/>
      <c r="I8" s="336"/>
      <c r="J8" s="309"/>
      <c r="K8" s="309"/>
    </row>
    <row r="9" spans="1:11" ht="15.75" thickBot="1">
      <c r="A9" s="248" t="s">
        <v>11</v>
      </c>
      <c r="B9" s="249">
        <v>90</v>
      </c>
      <c r="C9" s="250"/>
      <c r="D9" s="250">
        <v>0</v>
      </c>
      <c r="E9" s="295"/>
      <c r="F9" s="296">
        <f>D7+D8+D9</f>
        <v>0</v>
      </c>
      <c r="G9" s="325"/>
      <c r="H9" s="339">
        <v>3485040</v>
      </c>
      <c r="I9" s="340">
        <v>697952</v>
      </c>
      <c r="J9" s="310">
        <f>H9+F9+'spł poż'!F8</f>
        <v>3535040</v>
      </c>
      <c r="K9" s="310">
        <f>I9+G9+'spł poż'!G8</f>
        <v>871640</v>
      </c>
    </row>
    <row r="10" spans="1:11" ht="15">
      <c r="A10" s="238" t="s">
        <v>12</v>
      </c>
      <c r="B10" s="239">
        <v>90</v>
      </c>
      <c r="C10" s="240">
        <f>C9-D9</f>
        <v>0</v>
      </c>
      <c r="D10" s="240"/>
      <c r="E10" s="293">
        <f>B10*C10*0.07/360</f>
        <v>0</v>
      </c>
      <c r="F10" s="293"/>
      <c r="G10" s="323"/>
      <c r="H10" s="335"/>
      <c r="I10" s="336"/>
      <c r="J10" s="311">
        <f>H10+F10+'spł poż'!F9</f>
        <v>0</v>
      </c>
      <c r="K10" s="311">
        <f>I10+G10+'spł poż'!G9</f>
        <v>0</v>
      </c>
    </row>
    <row r="11" spans="1:11" ht="15">
      <c r="A11" s="243" t="s">
        <v>13</v>
      </c>
      <c r="B11" s="244">
        <v>90</v>
      </c>
      <c r="C11" s="245">
        <f aca="true" t="shared" si="0" ref="C11:C44">C10-D10</f>
        <v>0</v>
      </c>
      <c r="D11" s="245"/>
      <c r="E11" s="294">
        <f aca="true" t="shared" si="1" ref="E11:E41">B11*C11*0.07/360</f>
        <v>0</v>
      </c>
      <c r="F11" s="294"/>
      <c r="G11" s="324"/>
      <c r="H11" s="335"/>
      <c r="I11" s="336"/>
      <c r="J11" s="312">
        <f>H11+F11+'spł poż'!F10</f>
        <v>0</v>
      </c>
      <c r="K11" s="312">
        <f>I11+G11+'spł poż'!G10</f>
        <v>0</v>
      </c>
    </row>
    <row r="12" spans="1:11" ht="15">
      <c r="A12" s="243" t="s">
        <v>14</v>
      </c>
      <c r="B12" s="244">
        <v>90</v>
      </c>
      <c r="C12" s="245">
        <f t="shared" si="0"/>
        <v>0</v>
      </c>
      <c r="D12" s="245"/>
      <c r="E12" s="294">
        <f t="shared" si="1"/>
        <v>0</v>
      </c>
      <c r="F12" s="294"/>
      <c r="G12" s="324"/>
      <c r="H12" s="335"/>
      <c r="I12" s="336"/>
      <c r="J12" s="312">
        <f>H12+F12+'spł poż'!F11</f>
        <v>0</v>
      </c>
      <c r="K12" s="312">
        <f>I12+G12+'spł poż'!G11</f>
        <v>0</v>
      </c>
    </row>
    <row r="13" spans="1:11" ht="15.75" thickBot="1">
      <c r="A13" s="248" t="s">
        <v>15</v>
      </c>
      <c r="B13" s="249">
        <v>90</v>
      </c>
      <c r="C13" s="250">
        <f t="shared" si="0"/>
        <v>0</v>
      </c>
      <c r="D13" s="250"/>
      <c r="E13" s="296">
        <f t="shared" si="1"/>
        <v>0</v>
      </c>
      <c r="F13" s="296">
        <f>SUM(D10:D13)</f>
        <v>0</v>
      </c>
      <c r="G13" s="325">
        <f>SUM(E10:E13)</f>
        <v>0</v>
      </c>
      <c r="H13" s="339">
        <v>3616899</v>
      </c>
      <c r="I13" s="340">
        <v>575506</v>
      </c>
      <c r="J13" s="310">
        <f>H13+F13+'spł poż'!F12</f>
        <v>3666899</v>
      </c>
      <c r="K13" s="310">
        <f>I13+G13+'spł poż'!G12</f>
        <v>745694</v>
      </c>
    </row>
    <row r="14" spans="1:11" ht="15">
      <c r="A14" s="238" t="s">
        <v>16</v>
      </c>
      <c r="B14" s="239">
        <v>90</v>
      </c>
      <c r="C14" s="240">
        <f t="shared" si="0"/>
        <v>0</v>
      </c>
      <c r="D14" s="240"/>
      <c r="E14" s="293">
        <f t="shared" si="1"/>
        <v>0</v>
      </c>
      <c r="F14" s="293"/>
      <c r="G14" s="323"/>
      <c r="H14" s="335"/>
      <c r="I14" s="336"/>
      <c r="J14" s="311">
        <f>H14+F14+'spł poż'!F13</f>
        <v>0</v>
      </c>
      <c r="K14" s="311">
        <f>I14+G14+'spł poż'!G13</f>
        <v>0</v>
      </c>
    </row>
    <row r="15" spans="1:11" ht="15">
      <c r="A15" s="243" t="s">
        <v>17</v>
      </c>
      <c r="B15" s="244">
        <v>90</v>
      </c>
      <c r="C15" s="245">
        <f t="shared" si="0"/>
        <v>0</v>
      </c>
      <c r="D15" s="245"/>
      <c r="E15" s="294">
        <f t="shared" si="1"/>
        <v>0</v>
      </c>
      <c r="F15" s="294"/>
      <c r="G15" s="324"/>
      <c r="H15" s="335"/>
      <c r="I15" s="336"/>
      <c r="J15" s="312">
        <f>H15+F15+'spł poż'!F14</f>
        <v>0</v>
      </c>
      <c r="K15" s="312">
        <f>I15+G15+'spł poż'!G14</f>
        <v>0</v>
      </c>
    </row>
    <row r="16" spans="1:11" ht="15">
      <c r="A16" s="243" t="s">
        <v>18</v>
      </c>
      <c r="B16" s="244">
        <v>90</v>
      </c>
      <c r="C16" s="245">
        <f t="shared" si="0"/>
        <v>0</v>
      </c>
      <c r="D16" s="245"/>
      <c r="E16" s="294">
        <f t="shared" si="1"/>
        <v>0</v>
      </c>
      <c r="F16" s="294"/>
      <c r="G16" s="324"/>
      <c r="H16" s="335"/>
      <c r="I16" s="336"/>
      <c r="J16" s="312">
        <f>H16+F16+'spł poż'!F15</f>
        <v>0</v>
      </c>
      <c r="K16" s="312">
        <f>I16+G16+'spł poż'!G15</f>
        <v>0</v>
      </c>
    </row>
    <row r="17" spans="1:11" ht="15.75" thickBot="1">
      <c r="A17" s="248" t="s">
        <v>19</v>
      </c>
      <c r="B17" s="249">
        <v>90</v>
      </c>
      <c r="C17" s="250">
        <f t="shared" si="0"/>
        <v>0</v>
      </c>
      <c r="D17" s="250"/>
      <c r="E17" s="296">
        <f t="shared" si="1"/>
        <v>0</v>
      </c>
      <c r="F17" s="296">
        <f>SUM(D14:D17)</f>
        <v>0</v>
      </c>
      <c r="G17" s="325">
        <f>SUM(E14:E17)</f>
        <v>0</v>
      </c>
      <c r="H17" s="339">
        <v>3456453</v>
      </c>
      <c r="I17" s="340">
        <v>349963</v>
      </c>
      <c r="J17" s="310">
        <f>H17+F17+'spł poż'!F16</f>
        <v>3506453</v>
      </c>
      <c r="K17" s="310">
        <f>I17+G17+'spł poż'!G16</f>
        <v>516651</v>
      </c>
    </row>
    <row r="18" spans="1:11" ht="15">
      <c r="A18" s="238" t="s">
        <v>20</v>
      </c>
      <c r="B18" s="239">
        <v>90</v>
      </c>
      <c r="C18" s="240">
        <f t="shared" si="0"/>
        <v>0</v>
      </c>
      <c r="D18" s="240">
        <f>D17</f>
        <v>0</v>
      </c>
      <c r="E18" s="293">
        <f t="shared" si="1"/>
        <v>0</v>
      </c>
      <c r="F18" s="293"/>
      <c r="G18" s="323"/>
      <c r="H18" s="335"/>
      <c r="I18" s="336"/>
      <c r="J18" s="311">
        <f>H18+F18+'spł poż'!F17</f>
        <v>0</v>
      </c>
      <c r="K18" s="311">
        <f>I18+G18+'spł poż'!G17</f>
        <v>0</v>
      </c>
    </row>
    <row r="19" spans="1:11" ht="15">
      <c r="A19" s="243" t="s">
        <v>21</v>
      </c>
      <c r="B19" s="244">
        <v>90</v>
      </c>
      <c r="C19" s="245">
        <f t="shared" si="0"/>
        <v>0</v>
      </c>
      <c r="D19" s="245"/>
      <c r="E19" s="294">
        <f t="shared" si="1"/>
        <v>0</v>
      </c>
      <c r="F19" s="294"/>
      <c r="G19" s="324"/>
      <c r="H19" s="335"/>
      <c r="I19" s="336"/>
      <c r="J19" s="312">
        <f>H19+F19+'spł poż'!F18</f>
        <v>0</v>
      </c>
      <c r="K19" s="312">
        <f>I19+G19+'spł poż'!G18</f>
        <v>0</v>
      </c>
    </row>
    <row r="20" spans="1:36" s="17" customFormat="1" ht="15">
      <c r="A20" s="253" t="s">
        <v>22</v>
      </c>
      <c r="B20" s="254">
        <v>90</v>
      </c>
      <c r="C20" s="245">
        <f t="shared" si="0"/>
        <v>0</v>
      </c>
      <c r="D20" s="245"/>
      <c r="E20" s="294">
        <f t="shared" si="1"/>
        <v>0</v>
      </c>
      <c r="F20" s="297"/>
      <c r="G20" s="326"/>
      <c r="H20" s="335"/>
      <c r="I20" s="336"/>
      <c r="J20" s="312">
        <f>H20+F20+'spł poż'!F19</f>
        <v>0</v>
      </c>
      <c r="K20" s="312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259" t="s">
        <v>23</v>
      </c>
      <c r="B21" s="260">
        <v>90</v>
      </c>
      <c r="C21" s="261">
        <f t="shared" si="0"/>
        <v>0</v>
      </c>
      <c r="D21" s="274"/>
      <c r="E21" s="299">
        <f t="shared" si="1"/>
        <v>0</v>
      </c>
      <c r="F21" s="300">
        <f>SUM(D18:D21)</f>
        <v>0</v>
      </c>
      <c r="G21" s="327">
        <f>SUM(E18:E21)</f>
        <v>0</v>
      </c>
      <c r="H21" s="339">
        <v>2500000</v>
      </c>
      <c r="I21" s="340">
        <v>258568</v>
      </c>
      <c r="J21" s="313">
        <f>H21+F21+'spł poż'!F20</f>
        <v>2550000</v>
      </c>
      <c r="K21" s="313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238" t="s">
        <v>24</v>
      </c>
      <c r="B22" s="239">
        <v>90</v>
      </c>
      <c r="C22" s="240">
        <f t="shared" si="0"/>
        <v>0</v>
      </c>
      <c r="D22" s="267"/>
      <c r="E22" s="293">
        <f t="shared" si="1"/>
        <v>0</v>
      </c>
      <c r="F22" s="293"/>
      <c r="G22" s="323"/>
      <c r="H22" s="335"/>
      <c r="I22" s="336"/>
      <c r="J22" s="311">
        <f>H22+F22+'spł poż'!F21</f>
        <v>0</v>
      </c>
      <c r="K22" s="311">
        <f>I22+G22+'spł poż'!G21</f>
        <v>0</v>
      </c>
    </row>
    <row r="23" spans="1:11" ht="15">
      <c r="A23" s="243" t="s">
        <v>25</v>
      </c>
      <c r="B23" s="244">
        <v>90</v>
      </c>
      <c r="C23" s="245">
        <f t="shared" si="0"/>
        <v>0</v>
      </c>
      <c r="D23" s="269"/>
      <c r="E23" s="294">
        <f t="shared" si="1"/>
        <v>0</v>
      </c>
      <c r="F23" s="294"/>
      <c r="G23" s="324"/>
      <c r="H23" s="335"/>
      <c r="I23" s="336"/>
      <c r="J23" s="312">
        <f>H23+F23+'spł poż'!F22</f>
        <v>0</v>
      </c>
      <c r="K23" s="312">
        <f>I23+G23+'spł poż'!G22</f>
        <v>0</v>
      </c>
    </row>
    <row r="24" spans="1:11" ht="15">
      <c r="A24" s="243" t="s">
        <v>26</v>
      </c>
      <c r="B24" s="244">
        <v>90</v>
      </c>
      <c r="C24" s="245">
        <f t="shared" si="0"/>
        <v>0</v>
      </c>
      <c r="D24" s="245"/>
      <c r="E24" s="294">
        <f t="shared" si="1"/>
        <v>0</v>
      </c>
      <c r="F24" s="294"/>
      <c r="G24" s="324"/>
      <c r="H24" s="335"/>
      <c r="I24" s="336"/>
      <c r="J24" s="312">
        <f>H24+F24+'spł poż'!F23</f>
        <v>0</v>
      </c>
      <c r="K24" s="312">
        <f>I24+G24+'spł poż'!G23</f>
        <v>0</v>
      </c>
    </row>
    <row r="25" spans="1:11" ht="15.75" thickBot="1">
      <c r="A25" s="248" t="s">
        <v>27</v>
      </c>
      <c r="B25" s="249">
        <v>90</v>
      </c>
      <c r="C25" s="250">
        <f t="shared" si="0"/>
        <v>0</v>
      </c>
      <c r="D25" s="250"/>
      <c r="E25" s="296">
        <f t="shared" si="1"/>
        <v>0</v>
      </c>
      <c r="F25" s="296">
        <f>SUM(D22:D25)</f>
        <v>0</v>
      </c>
      <c r="G25" s="325">
        <f>SUM(E22:E25)</f>
        <v>0</v>
      </c>
      <c r="H25" s="339">
        <v>2500000</v>
      </c>
      <c r="I25" s="340">
        <v>171068</v>
      </c>
      <c r="J25" s="310">
        <f>H25+F25+'spł poż'!F24</f>
        <v>2550000</v>
      </c>
      <c r="K25" s="310">
        <f>I25+G25+'spł poż'!G24</f>
        <v>330756</v>
      </c>
    </row>
    <row r="26" spans="1:36" s="17" customFormat="1" ht="15">
      <c r="A26" s="265" t="s">
        <v>28</v>
      </c>
      <c r="B26" s="266">
        <v>90</v>
      </c>
      <c r="C26" s="240">
        <f t="shared" si="0"/>
        <v>0</v>
      </c>
      <c r="D26" s="267"/>
      <c r="E26" s="293">
        <f t="shared" si="1"/>
        <v>0</v>
      </c>
      <c r="F26" s="301"/>
      <c r="G26" s="328"/>
      <c r="H26" s="335"/>
      <c r="I26" s="336"/>
      <c r="J26" s="311">
        <f>H26+F26+'spł poż'!F25</f>
        <v>0</v>
      </c>
      <c r="K26" s="311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253" t="s">
        <v>29</v>
      </c>
      <c r="B27" s="254">
        <v>90</v>
      </c>
      <c r="C27" s="245">
        <f t="shared" si="0"/>
        <v>0</v>
      </c>
      <c r="D27" s="269"/>
      <c r="E27" s="294">
        <f t="shared" si="1"/>
        <v>0</v>
      </c>
      <c r="F27" s="297"/>
      <c r="G27" s="326"/>
      <c r="H27" s="335"/>
      <c r="I27" s="336"/>
      <c r="J27" s="312">
        <f>H27+F27+'spł poż'!F26</f>
        <v>0</v>
      </c>
      <c r="K27" s="312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253" t="s">
        <v>30</v>
      </c>
      <c r="B28" s="254">
        <v>90</v>
      </c>
      <c r="C28" s="245">
        <f t="shared" si="0"/>
        <v>0</v>
      </c>
      <c r="D28" s="269"/>
      <c r="E28" s="294">
        <f t="shared" si="1"/>
        <v>0</v>
      </c>
      <c r="F28" s="297"/>
      <c r="G28" s="326"/>
      <c r="H28" s="335"/>
      <c r="I28" s="336"/>
      <c r="J28" s="312">
        <f>H28+F28+'spł poż'!F27</f>
        <v>0</v>
      </c>
      <c r="K28" s="312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256" t="s">
        <v>31</v>
      </c>
      <c r="B29" s="257">
        <v>90</v>
      </c>
      <c r="C29" s="250">
        <f t="shared" si="0"/>
        <v>0</v>
      </c>
      <c r="D29" s="270"/>
      <c r="E29" s="296">
        <f t="shared" si="1"/>
        <v>0</v>
      </c>
      <c r="F29" s="298">
        <f>SUM(D26:D29)</f>
        <v>0</v>
      </c>
      <c r="G29" s="329">
        <f>SUM(E26:E29)</f>
        <v>0</v>
      </c>
      <c r="H29" s="339">
        <v>2376170</v>
      </c>
      <c r="I29" s="340">
        <v>83568</v>
      </c>
      <c r="J29" s="310">
        <f>H29+F29+'spł poż'!F28</f>
        <v>2401170</v>
      </c>
      <c r="K29" s="310">
        <f>I29+G29+'spł poż'!G28</f>
        <v>212193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238" t="s">
        <v>32</v>
      </c>
      <c r="B30" s="239">
        <v>90</v>
      </c>
      <c r="C30" s="240">
        <f t="shared" si="0"/>
        <v>0</v>
      </c>
      <c r="D30" s="240"/>
      <c r="E30" s="293">
        <f t="shared" si="1"/>
        <v>0</v>
      </c>
      <c r="F30" s="293"/>
      <c r="G30" s="323"/>
      <c r="H30" s="335"/>
      <c r="I30" s="336"/>
      <c r="J30" s="311">
        <f>H30+F30+'spł poż'!F29</f>
        <v>0</v>
      </c>
      <c r="K30" s="311">
        <f>I30+G30+'spł poż'!G29</f>
        <v>0</v>
      </c>
    </row>
    <row r="31" spans="1:11" ht="15">
      <c r="A31" s="243" t="s">
        <v>33</v>
      </c>
      <c r="B31" s="244">
        <v>90</v>
      </c>
      <c r="C31" s="245">
        <f t="shared" si="0"/>
        <v>0</v>
      </c>
      <c r="D31" s="269"/>
      <c r="E31" s="294">
        <f t="shared" si="1"/>
        <v>0</v>
      </c>
      <c r="F31" s="294"/>
      <c r="G31" s="324"/>
      <c r="H31" s="335"/>
      <c r="I31" s="336"/>
      <c r="J31" s="312">
        <f>H31+F31+'spł poż'!F30</f>
        <v>0</v>
      </c>
      <c r="K31" s="312">
        <f>I31+G31+'spł poż'!G30</f>
        <v>0</v>
      </c>
    </row>
    <row r="32" spans="1:11" ht="15">
      <c r="A32" s="243" t="s">
        <v>34</v>
      </c>
      <c r="B32" s="244">
        <v>90</v>
      </c>
      <c r="C32" s="245">
        <f t="shared" si="0"/>
        <v>0</v>
      </c>
      <c r="D32" s="269"/>
      <c r="E32" s="294">
        <f t="shared" si="1"/>
        <v>0</v>
      </c>
      <c r="F32" s="294"/>
      <c r="G32" s="324"/>
      <c r="H32" s="335"/>
      <c r="I32" s="336"/>
      <c r="J32" s="312">
        <f>H32+F32+'spł poż'!F31</f>
        <v>0</v>
      </c>
      <c r="K32" s="312">
        <f>I32+G32+'spł poż'!G31</f>
        <v>0</v>
      </c>
    </row>
    <row r="33" spans="1:11" ht="15.75" thickBot="1">
      <c r="A33" s="302" t="s">
        <v>35</v>
      </c>
      <c r="B33" s="303">
        <v>90</v>
      </c>
      <c r="C33" s="261">
        <f t="shared" si="0"/>
        <v>0</v>
      </c>
      <c r="D33" s="274"/>
      <c r="E33" s="299">
        <f t="shared" si="1"/>
        <v>0</v>
      </c>
      <c r="F33" s="299">
        <f>SUM(D30:D33)</f>
        <v>0</v>
      </c>
      <c r="G33" s="330">
        <f>SUM(E30:E33)</f>
        <v>0</v>
      </c>
      <c r="H33" s="339">
        <v>11500</v>
      </c>
      <c r="I33" s="336">
        <v>403</v>
      </c>
      <c r="J33" s="313">
        <f>H33+F33+'spł poż'!F32</f>
        <v>62028</v>
      </c>
      <c r="K33" s="313">
        <f>I33+G33+'spł poż'!G32</f>
        <v>126831.26000000002</v>
      </c>
    </row>
    <row r="34" spans="1:36" s="17" customFormat="1" ht="15">
      <c r="A34" s="265" t="s">
        <v>36</v>
      </c>
      <c r="B34" s="266">
        <v>90</v>
      </c>
      <c r="C34" s="240">
        <f t="shared" si="0"/>
        <v>0</v>
      </c>
      <c r="D34" s="267"/>
      <c r="E34" s="293">
        <f t="shared" si="1"/>
        <v>0</v>
      </c>
      <c r="F34" s="301"/>
      <c r="G34" s="328"/>
      <c r="H34" s="335"/>
      <c r="I34" s="336"/>
      <c r="J34" s="311">
        <f>H34+F34+'spł poż'!F33</f>
        <v>0</v>
      </c>
      <c r="K34" s="311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253" t="s">
        <v>37</v>
      </c>
      <c r="B35" s="254">
        <v>90</v>
      </c>
      <c r="C35" s="245">
        <f t="shared" si="0"/>
        <v>0</v>
      </c>
      <c r="D35" s="269">
        <f>D34</f>
        <v>0</v>
      </c>
      <c r="E35" s="294">
        <f t="shared" si="1"/>
        <v>0</v>
      </c>
      <c r="F35" s="297"/>
      <c r="G35" s="326"/>
      <c r="H35" s="335"/>
      <c r="I35" s="336"/>
      <c r="J35" s="312">
        <f>H35+F35+'spł poż'!F34</f>
        <v>0</v>
      </c>
      <c r="K35" s="312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253" t="s">
        <v>38</v>
      </c>
      <c r="B36" s="254">
        <v>90</v>
      </c>
      <c r="C36" s="245">
        <f t="shared" si="0"/>
        <v>0</v>
      </c>
      <c r="D36" s="269"/>
      <c r="E36" s="294">
        <f t="shared" si="1"/>
        <v>0</v>
      </c>
      <c r="F36" s="297"/>
      <c r="G36" s="326"/>
      <c r="H36" s="335"/>
      <c r="I36" s="336"/>
      <c r="J36" s="312">
        <f>H36+F36+'spł poż'!F35</f>
        <v>0</v>
      </c>
      <c r="K36" s="312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256" t="s">
        <v>39</v>
      </c>
      <c r="B37" s="257">
        <v>90</v>
      </c>
      <c r="C37" s="250">
        <f t="shared" si="0"/>
        <v>0</v>
      </c>
      <c r="D37" s="270"/>
      <c r="E37" s="296">
        <f t="shared" si="1"/>
        <v>0</v>
      </c>
      <c r="F37" s="298">
        <f>SUM(D34:D37)</f>
        <v>0</v>
      </c>
      <c r="G37" s="329">
        <f>SUM(E34:E37)</f>
        <v>0</v>
      </c>
      <c r="H37" s="335"/>
      <c r="I37" s="336"/>
      <c r="J37" s="310">
        <f>H37+F37+'spł poż'!F36</f>
        <v>750523</v>
      </c>
      <c r="K37" s="310">
        <f>I37+G37+'spł poż'!G36</f>
        <v>107150.54000000001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238" t="s">
        <v>40</v>
      </c>
      <c r="B38" s="239">
        <v>90</v>
      </c>
      <c r="C38" s="240">
        <f t="shared" si="0"/>
        <v>0</v>
      </c>
      <c r="D38" s="240">
        <f>D37</f>
        <v>0</v>
      </c>
      <c r="E38" s="293">
        <f t="shared" si="1"/>
        <v>0</v>
      </c>
      <c r="F38" s="293"/>
      <c r="G38" s="323"/>
      <c r="H38" s="335"/>
      <c r="I38" s="336"/>
      <c r="J38" s="311">
        <f>H38+F38+'spł poż'!F37</f>
        <v>0</v>
      </c>
      <c r="K38" s="311">
        <f>I38+G38+'spł poż'!G37</f>
        <v>0</v>
      </c>
    </row>
    <row r="39" spans="1:11" ht="15">
      <c r="A39" s="243" t="s">
        <v>41</v>
      </c>
      <c r="B39" s="244">
        <v>90</v>
      </c>
      <c r="C39" s="245">
        <f t="shared" si="0"/>
        <v>0</v>
      </c>
      <c r="D39" s="245">
        <f>D38</f>
        <v>0</v>
      </c>
      <c r="E39" s="294">
        <f t="shared" si="1"/>
        <v>0</v>
      </c>
      <c r="F39" s="294"/>
      <c r="G39" s="324"/>
      <c r="H39" s="335"/>
      <c r="I39" s="336"/>
      <c r="J39" s="312">
        <f>H39+F39+'spł poż'!F38</f>
        <v>0</v>
      </c>
      <c r="K39" s="312">
        <f>I39+G39+'spł poż'!G38</f>
        <v>0</v>
      </c>
    </row>
    <row r="40" spans="1:11" ht="15">
      <c r="A40" s="243" t="s">
        <v>42</v>
      </c>
      <c r="B40" s="244">
        <v>90</v>
      </c>
      <c r="C40" s="245">
        <f t="shared" si="0"/>
        <v>0</v>
      </c>
      <c r="D40" s="245">
        <f>D39</f>
        <v>0</v>
      </c>
      <c r="E40" s="294">
        <f t="shared" si="1"/>
        <v>0</v>
      </c>
      <c r="F40" s="294"/>
      <c r="G40" s="324"/>
      <c r="H40" s="335"/>
      <c r="I40" s="336"/>
      <c r="J40" s="312">
        <f>H40+F40+'spł poż'!F39</f>
        <v>0</v>
      </c>
      <c r="K40" s="312">
        <f>I40+G40+'spł poż'!G39</f>
        <v>0</v>
      </c>
    </row>
    <row r="41" spans="1:11" ht="15.75" thickBot="1">
      <c r="A41" s="248" t="s">
        <v>43</v>
      </c>
      <c r="B41" s="249">
        <v>90</v>
      </c>
      <c r="C41" s="250">
        <f t="shared" si="0"/>
        <v>0</v>
      </c>
      <c r="D41" s="250"/>
      <c r="E41" s="296">
        <f t="shared" si="1"/>
        <v>0</v>
      </c>
      <c r="F41" s="296">
        <f>SUM(D38:D41)</f>
        <v>0</v>
      </c>
      <c r="G41" s="325">
        <f>SUM(E38:E41)</f>
        <v>0</v>
      </c>
      <c r="H41" s="335"/>
      <c r="I41" s="336"/>
      <c r="J41" s="310">
        <f>H41+F41+'spł poż'!F40</f>
        <v>600000</v>
      </c>
      <c r="K41" s="310">
        <f>I41+G41+'spł poż'!G40</f>
        <v>55926.43</v>
      </c>
    </row>
    <row r="42" spans="1:11" ht="15">
      <c r="A42" s="238" t="s">
        <v>44</v>
      </c>
      <c r="B42" s="239">
        <v>90</v>
      </c>
      <c r="C42" s="240">
        <f t="shared" si="0"/>
        <v>0</v>
      </c>
      <c r="D42" s="240"/>
      <c r="E42" s="293">
        <f>B42*C42*0.07/360</f>
        <v>0</v>
      </c>
      <c r="F42" s="293"/>
      <c r="G42" s="323"/>
      <c r="H42" s="335"/>
      <c r="I42" s="336"/>
      <c r="J42" s="311">
        <f>H42+F42+'spł poż'!F41</f>
        <v>0</v>
      </c>
      <c r="K42" s="311">
        <f>I42+G42+'spł poż'!G41</f>
        <v>0</v>
      </c>
    </row>
    <row r="43" spans="1:11" ht="15">
      <c r="A43" s="243" t="s">
        <v>45</v>
      </c>
      <c r="B43" s="244">
        <v>90</v>
      </c>
      <c r="C43" s="245">
        <f t="shared" si="0"/>
        <v>0</v>
      </c>
      <c r="D43" s="245"/>
      <c r="E43" s="294">
        <f>B43*C43*0.07/360</f>
        <v>0</v>
      </c>
      <c r="F43" s="294"/>
      <c r="G43" s="324"/>
      <c r="H43" s="335"/>
      <c r="I43" s="336"/>
      <c r="J43" s="312">
        <f>H43+F43+'spł poż'!F42</f>
        <v>0</v>
      </c>
      <c r="K43" s="312">
        <f>I43+G43+'spł poż'!G42</f>
        <v>0</v>
      </c>
    </row>
    <row r="44" spans="1:11" ht="15">
      <c r="A44" s="243" t="s">
        <v>46</v>
      </c>
      <c r="B44" s="244">
        <v>90</v>
      </c>
      <c r="C44" s="245">
        <f t="shared" si="0"/>
        <v>0</v>
      </c>
      <c r="D44" s="245"/>
      <c r="E44" s="294">
        <f>B44*C44*0.07/360</f>
        <v>0</v>
      </c>
      <c r="F44" s="294"/>
      <c r="G44" s="324"/>
      <c r="H44" s="335"/>
      <c r="I44" s="336"/>
      <c r="J44" s="312">
        <f>H44+F44+'spł poż'!F43</f>
        <v>0</v>
      </c>
      <c r="K44" s="312">
        <f>I44+G44+'spł poż'!G43</f>
        <v>0</v>
      </c>
    </row>
    <row r="45" spans="1:11" ht="15.75" thickBot="1">
      <c r="A45" s="248" t="s">
        <v>47</v>
      </c>
      <c r="B45" s="249">
        <v>90</v>
      </c>
      <c r="C45" s="250">
        <f>C44-D44</f>
        <v>0</v>
      </c>
      <c r="D45" s="250"/>
      <c r="E45" s="296">
        <f>B45*C45*0.07/360</f>
        <v>0</v>
      </c>
      <c r="F45" s="296">
        <f>SUM(D42:D45)</f>
        <v>0</v>
      </c>
      <c r="G45" s="325">
        <f>SUM(E42:E45)</f>
        <v>0</v>
      </c>
      <c r="H45" s="341"/>
      <c r="I45" s="342"/>
      <c r="J45" s="310">
        <f>H45+F45+'spł poż'!F44</f>
        <v>423949</v>
      </c>
      <c r="K45" s="310">
        <f>I45+G45+'spł poż'!G44</f>
        <v>18757.322500000002</v>
      </c>
    </row>
    <row r="46" spans="4:11" ht="12.75">
      <c r="D46" s="14">
        <f>SUM(D10:D45)</f>
        <v>0</v>
      </c>
      <c r="J46" s="304"/>
      <c r="K46" s="351">
        <f>SUM(K4:K45)</f>
        <v>4314644.552499999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75" zoomScaleNormal="90" zoomScaleSheetLayoutView="75" zoomScalePageLayoutView="0" workbookViewId="0" topLeftCell="H65">
      <selection activeCell="H22" sqref="H22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31" customWidth="1"/>
    <col min="4" max="4" width="14.28125" style="0" customWidth="1"/>
    <col min="5" max="5" width="14.8515625" style="0" customWidth="1"/>
    <col min="6" max="6" width="13.421875" style="31" customWidth="1"/>
    <col min="7" max="7" width="15.7109375" style="0" customWidth="1"/>
    <col min="8" max="8" width="16.140625" style="0" customWidth="1"/>
    <col min="9" max="9" width="16.00390625" style="0" customWidth="1"/>
    <col min="10" max="10" width="15.8515625" style="0" customWidth="1"/>
    <col min="11" max="11" width="14.28125" style="0" customWidth="1"/>
    <col min="12" max="12" width="16.28125" style="0" customWidth="1"/>
    <col min="13" max="13" width="16.00390625" style="0" customWidth="1"/>
    <col min="14" max="14" width="15.8515625" style="0" customWidth="1"/>
    <col min="15" max="15" width="16.00390625" style="0" customWidth="1"/>
    <col min="16" max="17" width="16.28125" style="0" customWidth="1"/>
  </cols>
  <sheetData>
    <row r="1" spans="1:17" ht="19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6"/>
      <c r="N1" s="58" t="s">
        <v>48</v>
      </c>
      <c r="O1" s="58"/>
      <c r="P1" s="59"/>
      <c r="Q1" s="59"/>
    </row>
    <row r="2" spans="1:17" ht="3.75" customHeight="1">
      <c r="A2" s="60"/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  <c r="M2" s="61"/>
      <c r="N2" s="63"/>
      <c r="O2" s="64"/>
      <c r="P2" s="61"/>
      <c r="Q2" s="61"/>
    </row>
    <row r="3" spans="1:17" ht="18" customHeight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7"/>
      <c r="M3" s="66"/>
      <c r="N3" s="68" t="s">
        <v>394</v>
      </c>
      <c r="O3" s="64"/>
      <c r="P3" s="66"/>
      <c r="Q3" s="66"/>
    </row>
    <row r="4" spans="1:17" ht="16.5" customHeight="1">
      <c r="A4" s="65"/>
      <c r="B4" s="65"/>
      <c r="C4" s="66"/>
      <c r="D4" s="66"/>
      <c r="E4" s="66"/>
      <c r="F4" s="66"/>
      <c r="G4" s="66"/>
      <c r="H4" s="66"/>
      <c r="I4" s="66"/>
      <c r="J4" s="66"/>
      <c r="K4" s="66"/>
      <c r="L4" s="67"/>
      <c r="M4" s="66"/>
      <c r="N4" s="68" t="s">
        <v>49</v>
      </c>
      <c r="O4" s="64"/>
      <c r="P4" s="66"/>
      <c r="Q4" s="66"/>
    </row>
    <row r="5" spans="1:17" ht="17.25" customHeight="1">
      <c r="A5" s="65"/>
      <c r="B5" s="65"/>
      <c r="C5" s="66"/>
      <c r="D5" s="66"/>
      <c r="E5" s="66"/>
      <c r="F5" s="66"/>
      <c r="G5" s="66"/>
      <c r="H5" s="66"/>
      <c r="I5" s="66"/>
      <c r="J5" s="66"/>
      <c r="K5" s="66"/>
      <c r="L5" s="67"/>
      <c r="M5" s="66"/>
      <c r="N5" s="68" t="s">
        <v>395</v>
      </c>
      <c r="O5" s="64"/>
      <c r="P5" s="66"/>
      <c r="Q5" s="66"/>
    </row>
    <row r="6" spans="1:17" ht="19.5" customHeight="1" thickBot="1">
      <c r="A6" s="554" t="s">
        <v>295</v>
      </c>
      <c r="B6" s="554"/>
      <c r="C6" s="554" t="s">
        <v>51</v>
      </c>
      <c r="D6" s="554" t="s">
        <v>50</v>
      </c>
      <c r="E6" s="554" t="s">
        <v>52</v>
      </c>
      <c r="F6" s="554" t="s">
        <v>53</v>
      </c>
      <c r="G6" s="554" t="s">
        <v>54</v>
      </c>
      <c r="H6" s="554" t="s">
        <v>55</v>
      </c>
      <c r="I6" s="554" t="s">
        <v>56</v>
      </c>
      <c r="J6" s="554" t="s">
        <v>57</v>
      </c>
      <c r="K6" s="554" t="s">
        <v>58</v>
      </c>
      <c r="L6" s="554" t="s">
        <v>59</v>
      </c>
      <c r="M6" s="554" t="s">
        <v>60</v>
      </c>
      <c r="N6" s="554" t="s">
        <v>61</v>
      </c>
      <c r="O6" s="69"/>
      <c r="P6" s="69"/>
      <c r="Q6" s="70"/>
    </row>
    <row r="7" spans="1:17" ht="19.5" customHeight="1" thickBot="1">
      <c r="A7" s="554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69"/>
      <c r="P7" s="69"/>
      <c r="Q7" s="70"/>
    </row>
    <row r="8" spans="1:17" ht="19.5" customHeight="1" thickBot="1">
      <c r="A8" s="554"/>
      <c r="B8" s="554"/>
      <c r="C8" s="554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69"/>
      <c r="P8" s="69"/>
      <c r="Q8" s="70"/>
    </row>
    <row r="9" spans="1:17" ht="16.5" customHeight="1" thickBot="1">
      <c r="A9" s="602" t="s">
        <v>62</v>
      </c>
      <c r="B9" s="548" t="s">
        <v>63</v>
      </c>
      <c r="C9" s="550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</row>
    <row r="10" spans="1:17" ht="16.5" customHeight="1" thickBot="1">
      <c r="A10" s="603"/>
      <c r="B10" s="556"/>
      <c r="C10" s="598"/>
      <c r="D10" s="592" t="s">
        <v>64</v>
      </c>
      <c r="E10" s="592"/>
      <c r="F10" s="593"/>
      <c r="G10" s="591" t="s">
        <v>65</v>
      </c>
      <c r="H10" s="601"/>
      <c r="I10" s="601"/>
      <c r="J10" s="601"/>
      <c r="K10" s="601"/>
      <c r="L10" s="601"/>
      <c r="M10" s="601"/>
      <c r="N10" s="601"/>
      <c r="O10" s="601"/>
      <c r="P10" s="601"/>
      <c r="Q10" s="601"/>
    </row>
    <row r="11" spans="1:17" ht="18" customHeight="1">
      <c r="A11" s="603"/>
      <c r="B11" s="556"/>
      <c r="C11" s="557"/>
      <c r="D11" s="590">
        <v>2008</v>
      </c>
      <c r="E11" s="607">
        <v>2009</v>
      </c>
      <c r="F11" s="605">
        <v>2010</v>
      </c>
      <c r="G11" s="552" t="s">
        <v>294</v>
      </c>
      <c r="H11" s="610">
        <v>2012</v>
      </c>
      <c r="I11" s="609">
        <v>2013</v>
      </c>
      <c r="J11" s="590">
        <v>2014</v>
      </c>
      <c r="K11" s="590">
        <v>2015</v>
      </c>
      <c r="L11" s="590">
        <v>2016</v>
      </c>
      <c r="M11" s="590">
        <v>2017</v>
      </c>
      <c r="N11" s="590">
        <v>2018</v>
      </c>
      <c r="O11" s="590">
        <v>2019</v>
      </c>
      <c r="P11" s="590">
        <v>2020</v>
      </c>
      <c r="Q11" s="590">
        <v>2021</v>
      </c>
    </row>
    <row r="12" spans="1:17" ht="14.25" customHeight="1" thickBot="1">
      <c r="A12" s="604"/>
      <c r="B12" s="599"/>
      <c r="C12" s="600"/>
      <c r="D12" s="551"/>
      <c r="E12" s="608"/>
      <c r="F12" s="606"/>
      <c r="G12" s="553"/>
      <c r="H12" s="585"/>
      <c r="I12" s="582"/>
      <c r="J12" s="551"/>
      <c r="K12" s="551"/>
      <c r="L12" s="551"/>
      <c r="M12" s="551"/>
      <c r="N12" s="551"/>
      <c r="O12" s="551"/>
      <c r="P12" s="551"/>
      <c r="Q12" s="551"/>
    </row>
    <row r="13" spans="1:17" s="32" customFormat="1" ht="19.5" customHeight="1">
      <c r="A13" s="81">
        <v>1</v>
      </c>
      <c r="B13" s="567" t="s">
        <v>66</v>
      </c>
      <c r="C13" s="568"/>
      <c r="D13" s="87">
        <f>D14+D15</f>
        <v>80916668</v>
      </c>
      <c r="E13" s="87">
        <f>E14+E15</f>
        <v>81699693</v>
      </c>
      <c r="F13" s="92">
        <f>F14+F15</f>
        <v>85095905</v>
      </c>
      <c r="G13" s="429">
        <f>G14+G15</f>
        <v>114278216</v>
      </c>
      <c r="H13" s="445">
        <f>H14+H15</f>
        <v>176760587</v>
      </c>
      <c r="I13" s="439">
        <f aca="true" t="shared" si="0" ref="I13:Q13">I14+I15</f>
        <v>170099225</v>
      </c>
      <c r="J13" s="87">
        <f t="shared" si="0"/>
        <v>112956586</v>
      </c>
      <c r="K13" s="428">
        <f t="shared" si="0"/>
        <v>129434338</v>
      </c>
      <c r="L13" s="87">
        <f t="shared" si="0"/>
        <v>124848430</v>
      </c>
      <c r="M13" s="87">
        <f t="shared" si="0"/>
        <v>129078216</v>
      </c>
      <c r="N13" s="87">
        <f t="shared" si="0"/>
        <v>134530581</v>
      </c>
      <c r="O13" s="87">
        <f t="shared" si="0"/>
        <v>139658756</v>
      </c>
      <c r="P13" s="87">
        <f t="shared" si="0"/>
        <v>143547325</v>
      </c>
      <c r="Q13" s="87">
        <f t="shared" si="0"/>
        <v>146658641</v>
      </c>
    </row>
    <row r="14" spans="1:17" ht="19.5" customHeight="1">
      <c r="A14" s="82" t="s">
        <v>67</v>
      </c>
      <c r="B14" s="565" t="s">
        <v>68</v>
      </c>
      <c r="C14" s="566"/>
      <c r="D14" s="84">
        <v>80901768</v>
      </c>
      <c r="E14" s="84">
        <v>80665439</v>
      </c>
      <c r="F14" s="94">
        <v>84339995</v>
      </c>
      <c r="G14" s="430">
        <v>98522397</v>
      </c>
      <c r="H14" s="446">
        <v>104290855</v>
      </c>
      <c r="I14" s="454">
        <v>112836724</v>
      </c>
      <c r="J14" s="85">
        <v>112956586</v>
      </c>
      <c r="K14" s="84">
        <v>120434338</v>
      </c>
      <c r="L14" s="84">
        <v>124848430</v>
      </c>
      <c r="M14" s="84">
        <v>129078216</v>
      </c>
      <c r="N14" s="84">
        <v>134530581</v>
      </c>
      <c r="O14" s="84">
        <v>139658756</v>
      </c>
      <c r="P14" s="84">
        <v>143547325</v>
      </c>
      <c r="Q14" s="84">
        <v>146658641</v>
      </c>
    </row>
    <row r="15" spans="1:17" ht="19.5" customHeight="1">
      <c r="A15" s="82" t="s">
        <v>69</v>
      </c>
      <c r="B15" s="565" t="s">
        <v>70</v>
      </c>
      <c r="C15" s="566"/>
      <c r="D15" s="84">
        <v>14900</v>
      </c>
      <c r="E15" s="84">
        <v>1034254</v>
      </c>
      <c r="F15" s="94">
        <v>755910</v>
      </c>
      <c r="G15" s="430">
        <v>15755819</v>
      </c>
      <c r="H15" s="446">
        <v>72469732</v>
      </c>
      <c r="I15" s="454">
        <v>57262501</v>
      </c>
      <c r="J15" s="85"/>
      <c r="K15" s="84">
        <v>9000000</v>
      </c>
      <c r="L15" s="84">
        <f>L16</f>
        <v>0</v>
      </c>
      <c r="M15" s="84">
        <f>M16</f>
        <v>0</v>
      </c>
      <c r="N15" s="85">
        <v>0</v>
      </c>
      <c r="O15" s="84">
        <f>O16</f>
        <v>0</v>
      </c>
      <c r="P15" s="84"/>
      <c r="Q15" s="84"/>
    </row>
    <row r="16" spans="1:17" ht="20.25" customHeight="1">
      <c r="A16" s="82" t="s">
        <v>71</v>
      </c>
      <c r="B16" s="96" t="s">
        <v>72</v>
      </c>
      <c r="C16" s="424" t="s">
        <v>73</v>
      </c>
      <c r="D16" s="84">
        <v>0</v>
      </c>
      <c r="E16" s="84">
        <v>197354</v>
      </c>
      <c r="F16" s="94">
        <v>255910</v>
      </c>
      <c r="G16" s="430">
        <v>13500000</v>
      </c>
      <c r="H16" s="446">
        <v>52000000</v>
      </c>
      <c r="I16" s="455">
        <v>26150000</v>
      </c>
      <c r="J16" s="85"/>
      <c r="K16" s="85"/>
      <c r="L16" s="85">
        <v>0</v>
      </c>
      <c r="M16" s="85">
        <v>0</v>
      </c>
      <c r="N16" s="85">
        <v>0</v>
      </c>
      <c r="O16" s="85">
        <v>0</v>
      </c>
      <c r="P16" s="85"/>
      <c r="Q16" s="85"/>
    </row>
    <row r="17" spans="1:17" ht="54.75" customHeight="1">
      <c r="A17" s="86">
        <v>2</v>
      </c>
      <c r="B17" s="595" t="s">
        <v>74</v>
      </c>
      <c r="C17" s="596"/>
      <c r="D17" s="87">
        <v>63400831</v>
      </c>
      <c r="E17" s="87">
        <v>71551205</v>
      </c>
      <c r="F17" s="92">
        <v>76029699</v>
      </c>
      <c r="G17" s="429">
        <v>88000247</v>
      </c>
      <c r="H17" s="445">
        <v>99898663</v>
      </c>
      <c r="I17" s="439">
        <v>82020230</v>
      </c>
      <c r="J17" s="87">
        <v>82730732</v>
      </c>
      <c r="K17" s="87">
        <v>82337332</v>
      </c>
      <c r="L17" s="87">
        <v>97905924</v>
      </c>
      <c r="M17" s="87">
        <v>100364353</v>
      </c>
      <c r="N17" s="87">
        <v>104926222</v>
      </c>
      <c r="O17" s="87">
        <v>105712332</v>
      </c>
      <c r="P17" s="87">
        <v>110641024</v>
      </c>
      <c r="Q17" s="87">
        <v>113939185</v>
      </c>
    </row>
    <row r="18" spans="1:17" ht="24.75" customHeight="1">
      <c r="A18" s="82" t="s">
        <v>67</v>
      </c>
      <c r="B18" s="597" t="s">
        <v>72</v>
      </c>
      <c r="C18" s="425" t="s">
        <v>75</v>
      </c>
      <c r="D18" s="84">
        <v>21925321.76</v>
      </c>
      <c r="E18" s="84">
        <v>25712119</v>
      </c>
      <c r="F18" s="94">
        <v>28031630</v>
      </c>
      <c r="G18" s="430">
        <v>31812111</v>
      </c>
      <c r="H18" s="446">
        <v>38492079</v>
      </c>
      <c r="I18" s="454">
        <f aca="true" t="shared" si="1" ref="I18:O18">H18*102%</f>
        <v>39261920.58</v>
      </c>
      <c r="J18" s="85">
        <f t="shared" si="1"/>
        <v>40047158.9916</v>
      </c>
      <c r="K18" s="84">
        <f t="shared" si="1"/>
        <v>40848102.171432</v>
      </c>
      <c r="L18" s="84">
        <f t="shared" si="1"/>
        <v>41665064.21486064</v>
      </c>
      <c r="M18" s="84">
        <f t="shared" si="1"/>
        <v>42498365.49915785</v>
      </c>
      <c r="N18" s="84">
        <f t="shared" si="1"/>
        <v>43348332.80914101</v>
      </c>
      <c r="O18" s="84">
        <f t="shared" si="1"/>
        <v>44215299.46532383</v>
      </c>
      <c r="P18" s="84">
        <f>N18*102%</f>
        <v>44215299.46532383</v>
      </c>
      <c r="Q18" s="84">
        <f>O18*102%</f>
        <v>45099605.45463031</v>
      </c>
    </row>
    <row r="19" spans="1:17" ht="24.75" customHeight="1">
      <c r="A19" s="82" t="s">
        <v>69</v>
      </c>
      <c r="B19" s="597"/>
      <c r="C19" s="425" t="s">
        <v>76</v>
      </c>
      <c r="D19" s="84">
        <v>6959371</v>
      </c>
      <c r="E19" s="84">
        <v>7561065</v>
      </c>
      <c r="F19" s="94">
        <v>8358243</v>
      </c>
      <c r="G19" s="430">
        <v>9944058</v>
      </c>
      <c r="H19" s="446">
        <v>12150219</v>
      </c>
      <c r="I19" s="454">
        <v>7950000</v>
      </c>
      <c r="J19" s="85">
        <v>7980000</v>
      </c>
      <c r="K19" s="84">
        <v>8010000</v>
      </c>
      <c r="L19" s="84">
        <v>8170200</v>
      </c>
      <c r="M19" s="84">
        <f>L19*102%</f>
        <v>8333604</v>
      </c>
      <c r="N19" s="84">
        <f>M19*102%</f>
        <v>8500276.08</v>
      </c>
      <c r="O19" s="84">
        <f>N19*102%</f>
        <v>8670281.6016</v>
      </c>
      <c r="P19" s="84">
        <f>N19*102%</f>
        <v>8670281.6016</v>
      </c>
      <c r="Q19" s="84">
        <f>O19*102%</f>
        <v>8843687.233632</v>
      </c>
    </row>
    <row r="20" spans="1:17" ht="20.25" customHeight="1">
      <c r="A20" s="82" t="s">
        <v>77</v>
      </c>
      <c r="B20" s="597"/>
      <c r="C20" s="425" t="s">
        <v>78</v>
      </c>
      <c r="D20" s="84">
        <v>0</v>
      </c>
      <c r="E20" s="84">
        <v>0</v>
      </c>
      <c r="F20" s="94">
        <v>0</v>
      </c>
      <c r="G20" s="453">
        <v>0</v>
      </c>
      <c r="H20" s="451"/>
      <c r="I20" s="443">
        <v>0</v>
      </c>
      <c r="J20" s="83"/>
      <c r="K20" s="83"/>
      <c r="L20" s="83"/>
      <c r="M20" s="83"/>
      <c r="N20" s="83"/>
      <c r="O20" s="83"/>
      <c r="P20" s="83"/>
      <c r="Q20" s="83"/>
    </row>
    <row r="21" spans="1:17" ht="35.25" customHeight="1">
      <c r="A21" s="82" t="s">
        <v>71</v>
      </c>
      <c r="B21" s="597"/>
      <c r="C21" s="425" t="s">
        <v>79</v>
      </c>
      <c r="D21" s="83">
        <v>0</v>
      </c>
      <c r="E21" s="83">
        <v>0</v>
      </c>
      <c r="F21" s="94">
        <v>0</v>
      </c>
      <c r="G21" s="453">
        <v>0</v>
      </c>
      <c r="H21" s="451">
        <v>0</v>
      </c>
      <c r="I21" s="44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</row>
    <row r="22" spans="1:17" ht="31.5">
      <c r="A22" s="82" t="s">
        <v>80</v>
      </c>
      <c r="B22" s="597"/>
      <c r="C22" s="425" t="s">
        <v>81</v>
      </c>
      <c r="D22" s="84" t="s">
        <v>82</v>
      </c>
      <c r="E22" s="84" t="s">
        <v>82</v>
      </c>
      <c r="F22" s="94" t="s">
        <v>82</v>
      </c>
      <c r="G22" s="430">
        <v>1309987</v>
      </c>
      <c r="H22" s="446">
        <f>'Wykaz przedsięwzięć'!L13</f>
        <v>10589420</v>
      </c>
      <c r="I22" s="455">
        <f>'Wykaz przedsięwzięć'!M96</f>
        <v>5092114</v>
      </c>
      <c r="J22" s="85">
        <f>'Wykaz przedsięwzięć'!N96</f>
        <v>4663714</v>
      </c>
      <c r="K22" s="85">
        <f>'Wykaz przedsięwzięć'!O96</f>
        <v>2455310</v>
      </c>
      <c r="L22" s="85">
        <f>'Wykaz przedsięwzięć'!P96</f>
        <v>2388490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</row>
    <row r="23" spans="1:17" ht="38.25" customHeight="1">
      <c r="A23" s="89">
        <v>3</v>
      </c>
      <c r="B23" s="571" t="s">
        <v>83</v>
      </c>
      <c r="C23" s="560"/>
      <c r="D23" s="90">
        <f aca="true" t="shared" si="2" ref="D23:Q23">D13-D17</f>
        <v>17515837</v>
      </c>
      <c r="E23" s="90">
        <f t="shared" si="2"/>
        <v>10148488</v>
      </c>
      <c r="F23" s="92">
        <f>F13-F17</f>
        <v>9066206</v>
      </c>
      <c r="G23" s="429">
        <f t="shared" si="2"/>
        <v>26277969</v>
      </c>
      <c r="H23" s="445">
        <f>H13-H17</f>
        <v>76861924</v>
      </c>
      <c r="I23" s="436">
        <f t="shared" si="2"/>
        <v>88078995</v>
      </c>
      <c r="J23" s="87">
        <f t="shared" si="2"/>
        <v>30225854</v>
      </c>
      <c r="K23" s="90">
        <f>K13-K17</f>
        <v>47097006</v>
      </c>
      <c r="L23" s="90">
        <f t="shared" si="2"/>
        <v>26942506</v>
      </c>
      <c r="M23" s="90">
        <f t="shared" si="2"/>
        <v>28713863</v>
      </c>
      <c r="N23" s="90">
        <f t="shared" si="2"/>
        <v>29604359</v>
      </c>
      <c r="O23" s="90">
        <f t="shared" si="2"/>
        <v>33946424</v>
      </c>
      <c r="P23" s="90">
        <f>P13-P17</f>
        <v>32906301</v>
      </c>
      <c r="Q23" s="90">
        <f t="shared" si="2"/>
        <v>32719456</v>
      </c>
    </row>
    <row r="24" spans="1:17" ht="39.75" customHeight="1">
      <c r="A24" s="89">
        <v>4</v>
      </c>
      <c r="B24" s="571" t="s">
        <v>84</v>
      </c>
      <c r="C24" s="560"/>
      <c r="D24" s="91">
        <v>19854380</v>
      </c>
      <c r="E24" s="91">
        <v>3719761</v>
      </c>
      <c r="F24" s="92">
        <v>1245475</v>
      </c>
      <c r="G24" s="432">
        <v>427077</v>
      </c>
      <c r="H24" s="448">
        <f>H25</f>
        <v>4004678</v>
      </c>
      <c r="I24" s="438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</row>
    <row r="25" spans="1:17" ht="51" customHeight="1">
      <c r="A25" s="82" t="s">
        <v>67</v>
      </c>
      <c r="B25" s="93" t="s">
        <v>72</v>
      </c>
      <c r="C25" s="426" t="s">
        <v>85</v>
      </c>
      <c r="D25" s="83">
        <v>14712619</v>
      </c>
      <c r="E25" s="83">
        <v>0</v>
      </c>
      <c r="F25" s="94"/>
      <c r="G25" s="453">
        <v>375492</v>
      </c>
      <c r="H25" s="451">
        <v>4004678</v>
      </c>
      <c r="I25" s="456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1:17" ht="33.75" customHeight="1">
      <c r="A26" s="89">
        <v>5</v>
      </c>
      <c r="B26" s="571" t="s">
        <v>86</v>
      </c>
      <c r="C26" s="560"/>
      <c r="D26" s="91">
        <v>0</v>
      </c>
      <c r="E26" s="90">
        <v>0</v>
      </c>
      <c r="F26" s="92">
        <v>0</v>
      </c>
      <c r="G26" s="429">
        <v>0</v>
      </c>
      <c r="H26" s="445">
        <v>0</v>
      </c>
      <c r="I26" s="436">
        <v>0</v>
      </c>
      <c r="J26" s="87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</row>
    <row r="27" spans="1:17" ht="20.25" customHeight="1">
      <c r="A27" s="89">
        <v>6</v>
      </c>
      <c r="B27" s="571" t="s">
        <v>87</v>
      </c>
      <c r="C27" s="560"/>
      <c r="D27" s="90">
        <f aca="true" t="shared" si="3" ref="D27:Q27">D23+D24+D26</f>
        <v>37370217</v>
      </c>
      <c r="E27" s="90">
        <f t="shared" si="3"/>
        <v>13868249</v>
      </c>
      <c r="F27" s="92">
        <f>F23+F24+F26</f>
        <v>10311681</v>
      </c>
      <c r="G27" s="429">
        <f>G23+G24+G26</f>
        <v>26705046</v>
      </c>
      <c r="H27" s="445">
        <f>H23+H24+H26</f>
        <v>80866602</v>
      </c>
      <c r="I27" s="436">
        <f t="shared" si="3"/>
        <v>88078995</v>
      </c>
      <c r="J27" s="87">
        <f t="shared" si="3"/>
        <v>30225854</v>
      </c>
      <c r="K27" s="90">
        <f>K23+K24+K26</f>
        <v>47097006</v>
      </c>
      <c r="L27" s="90">
        <f t="shared" si="3"/>
        <v>26942506</v>
      </c>
      <c r="M27" s="90">
        <f t="shared" si="3"/>
        <v>28713863</v>
      </c>
      <c r="N27" s="90">
        <f t="shared" si="3"/>
        <v>29604359</v>
      </c>
      <c r="O27" s="90">
        <f t="shared" si="3"/>
        <v>33946424</v>
      </c>
      <c r="P27" s="90">
        <f t="shared" si="3"/>
        <v>32906301</v>
      </c>
      <c r="Q27" s="90">
        <f t="shared" si="3"/>
        <v>32719456</v>
      </c>
    </row>
    <row r="28" spans="1:17" ht="20.25" customHeight="1">
      <c r="A28" s="89">
        <v>7</v>
      </c>
      <c r="B28" s="571" t="s">
        <v>88</v>
      </c>
      <c r="C28" s="560"/>
      <c r="D28" s="91">
        <f aca="true" t="shared" si="4" ref="D28:Q28">D29+D33</f>
        <v>1883950</v>
      </c>
      <c r="E28" s="91">
        <f t="shared" si="4"/>
        <v>4502192</v>
      </c>
      <c r="F28" s="92">
        <f>F29+F33</f>
        <v>9065858</v>
      </c>
      <c r="G28" s="432">
        <f t="shared" si="4"/>
        <v>6883561</v>
      </c>
      <c r="H28" s="448">
        <v>9232930</v>
      </c>
      <c r="I28" s="442">
        <f t="shared" si="4"/>
        <v>10436843</v>
      </c>
      <c r="J28" s="92">
        <f t="shared" si="4"/>
        <v>9859854</v>
      </c>
      <c r="K28" s="91">
        <f t="shared" si="4"/>
        <v>8621006</v>
      </c>
      <c r="L28" s="91">
        <f t="shared" si="4"/>
        <v>8442506</v>
      </c>
      <c r="M28" s="91">
        <f t="shared" si="4"/>
        <v>8713863</v>
      </c>
      <c r="N28" s="91">
        <f t="shared" si="4"/>
        <v>6604359.26</v>
      </c>
      <c r="O28" s="91">
        <f t="shared" si="4"/>
        <v>8446423.54</v>
      </c>
      <c r="P28" s="91">
        <f t="shared" si="4"/>
        <v>6906301.43</v>
      </c>
      <c r="Q28" s="91">
        <f t="shared" si="4"/>
        <v>4719456.3225</v>
      </c>
    </row>
    <row r="29" spans="1:18" s="19" customFormat="1" ht="36" customHeight="1">
      <c r="A29" s="95" t="s">
        <v>67</v>
      </c>
      <c r="B29" s="563" t="s">
        <v>89</v>
      </c>
      <c r="C29" s="562"/>
      <c r="D29" s="85">
        <v>1422000</v>
      </c>
      <c r="E29" s="85">
        <v>3463314</v>
      </c>
      <c r="F29" s="94">
        <v>6940085</v>
      </c>
      <c r="G29" s="430">
        <v>4551585</v>
      </c>
      <c r="H29" s="446">
        <f>SUM(H30:H32)</f>
        <v>6935040</v>
      </c>
      <c r="I29" s="455">
        <f>SUM(I30:I32)</f>
        <v>7266899</v>
      </c>
      <c r="J29" s="85">
        <f aca="true" t="shared" si="5" ref="J29:Q29">SUM(J30:J32)</f>
        <v>7106453</v>
      </c>
      <c r="K29" s="85">
        <f t="shared" si="5"/>
        <v>6150000</v>
      </c>
      <c r="L29" s="85">
        <f t="shared" si="5"/>
        <v>6250000</v>
      </c>
      <c r="M29" s="85">
        <f t="shared" si="5"/>
        <v>6801170</v>
      </c>
      <c r="N29" s="85">
        <f t="shared" si="5"/>
        <v>5062028</v>
      </c>
      <c r="O29" s="85">
        <f t="shared" si="5"/>
        <v>7350523</v>
      </c>
      <c r="P29" s="85">
        <f t="shared" si="5"/>
        <v>6300000</v>
      </c>
      <c r="Q29" s="85">
        <f t="shared" si="5"/>
        <v>4523949</v>
      </c>
      <c r="R29" s="30"/>
    </row>
    <row r="30" spans="1:18" s="19" customFormat="1" ht="19.5" customHeight="1">
      <c r="A30" s="95"/>
      <c r="B30" s="564" t="s">
        <v>72</v>
      </c>
      <c r="C30" s="427" t="s">
        <v>90</v>
      </c>
      <c r="D30" s="85">
        <v>1422000</v>
      </c>
      <c r="E30" s="85">
        <v>2963314</v>
      </c>
      <c r="F30" s="94">
        <v>3340085</v>
      </c>
      <c r="G30" s="430">
        <v>2141585</v>
      </c>
      <c r="H30" s="446">
        <f>Arkusz5!J9</f>
        <v>3535040</v>
      </c>
      <c r="I30" s="455">
        <f>Arkusz5!J13</f>
        <v>3666899</v>
      </c>
      <c r="J30" s="85">
        <f>Arkusz5!J17</f>
        <v>3506453</v>
      </c>
      <c r="K30" s="85">
        <f>Arkusz5!J21</f>
        <v>2550000</v>
      </c>
      <c r="L30" s="85">
        <f>Arkusz5!J25</f>
        <v>2550000</v>
      </c>
      <c r="M30" s="85">
        <f>Arkusz5!J29</f>
        <v>2401170</v>
      </c>
      <c r="N30" s="85">
        <f>Arkusz5!J33</f>
        <v>62028</v>
      </c>
      <c r="O30" s="85">
        <f>Arkusz5!J37</f>
        <v>750523</v>
      </c>
      <c r="P30" s="85">
        <f>Arkusz5!J41</f>
        <v>600000</v>
      </c>
      <c r="Q30" s="85">
        <f>Arkusz5!J45</f>
        <v>423949</v>
      </c>
      <c r="R30" s="30"/>
    </row>
    <row r="31" spans="1:18" s="19" customFormat="1" ht="19.5" customHeight="1">
      <c r="A31" s="95"/>
      <c r="B31" s="564"/>
      <c r="C31" s="427" t="s">
        <v>91</v>
      </c>
      <c r="D31" s="85"/>
      <c r="E31" s="85">
        <v>500000</v>
      </c>
      <c r="F31" s="94">
        <v>3600000</v>
      </c>
      <c r="G31" s="430">
        <v>410000</v>
      </c>
      <c r="H31" s="446">
        <v>400000</v>
      </c>
      <c r="I31" s="455">
        <v>600000</v>
      </c>
      <c r="J31" s="85">
        <v>600000</v>
      </c>
      <c r="K31" s="85">
        <v>600000</v>
      </c>
      <c r="L31" s="85">
        <v>700000</v>
      </c>
      <c r="M31" s="85">
        <v>1400000</v>
      </c>
      <c r="N31" s="85"/>
      <c r="O31" s="85"/>
      <c r="P31" s="85"/>
      <c r="Q31" s="85"/>
      <c r="R31" s="30"/>
    </row>
    <row r="32" spans="1:18" s="19" customFormat="1" ht="19.5" customHeight="1">
      <c r="A32" s="95"/>
      <c r="B32" s="564"/>
      <c r="C32" s="427" t="s">
        <v>92</v>
      </c>
      <c r="D32" s="85"/>
      <c r="E32" s="85"/>
      <c r="F32" s="94"/>
      <c r="G32" s="430">
        <v>2000000</v>
      </c>
      <c r="H32" s="446">
        <f>'spł obligacji'!J9</f>
        <v>3000000</v>
      </c>
      <c r="I32" s="455">
        <f>'spł obligacji'!J13</f>
        <v>3000000</v>
      </c>
      <c r="J32" s="85">
        <f>'spł obligacji'!J17</f>
        <v>3000000</v>
      </c>
      <c r="K32" s="85">
        <f>'spł obligacji'!J21</f>
        <v>3000000</v>
      </c>
      <c r="L32" s="85">
        <f>'spł obligacji'!J25</f>
        <v>3000000</v>
      </c>
      <c r="M32" s="85">
        <f>'spł obligacji'!J29</f>
        <v>3000000</v>
      </c>
      <c r="N32" s="85">
        <f>'spł obligacji'!J33</f>
        <v>5000000</v>
      </c>
      <c r="O32" s="85">
        <f>'spł obligacji'!J37</f>
        <v>6600000</v>
      </c>
      <c r="P32" s="85">
        <f>'spł obligacji'!J41</f>
        <v>5700000</v>
      </c>
      <c r="Q32" s="85">
        <f>'spł obligacji'!J45</f>
        <v>4100000</v>
      </c>
      <c r="R32" s="30"/>
    </row>
    <row r="33" spans="1:17" ht="20.25" customHeight="1">
      <c r="A33" s="82" t="s">
        <v>69</v>
      </c>
      <c r="B33" s="565" t="s">
        <v>93</v>
      </c>
      <c r="C33" s="566"/>
      <c r="D33" s="84">
        <v>461950</v>
      </c>
      <c r="E33" s="84">
        <v>1038878</v>
      </c>
      <c r="F33" s="94">
        <v>2125773</v>
      </c>
      <c r="G33" s="430">
        <v>2331976</v>
      </c>
      <c r="H33" s="446">
        <f>Arkusz5!K9+'spł obligacji'!K4+161250</f>
        <v>2297890</v>
      </c>
      <c r="I33" s="454">
        <f>'spł obligacji'!K13+Arkusz5!K13+146250</f>
        <v>3169944</v>
      </c>
      <c r="J33" s="85">
        <f>'spł obligacji'!K17+Arkusz5!K17+123750</f>
        <v>2753401</v>
      </c>
      <c r="K33" s="84">
        <f>'spł obligacji'!K21+Arkusz5!K21+101250</f>
        <v>2471006</v>
      </c>
      <c r="L33" s="84">
        <f>'spł obligacji'!K25+Arkusz5!K25+78750</f>
        <v>2192506</v>
      </c>
      <c r="M33" s="84">
        <f>'spł obligacji'!K29+Arkusz5!K29+52500</f>
        <v>1912693.0000000002</v>
      </c>
      <c r="N33" s="84">
        <f>'spł obligacji'!K33+Arkusz5!K33</f>
        <v>1542331.2600000002</v>
      </c>
      <c r="O33" s="84">
        <f>'spł obligacji'!K37+Arkusz5!K37</f>
        <v>1095900.54</v>
      </c>
      <c r="P33" s="84">
        <f>Arkusz5!K41+'spł obligacji'!K41</f>
        <v>606301.43</v>
      </c>
      <c r="Q33" s="84">
        <f>'spł obligacji'!K45+Arkusz5!K45</f>
        <v>195507.32250000004</v>
      </c>
    </row>
    <row r="34" spans="1:17" ht="20.25" customHeight="1">
      <c r="A34" s="89">
        <v>8</v>
      </c>
      <c r="B34" s="571" t="s">
        <v>94</v>
      </c>
      <c r="C34" s="560"/>
      <c r="D34" s="90">
        <v>0</v>
      </c>
      <c r="E34" s="90">
        <v>0</v>
      </c>
      <c r="F34" s="92">
        <v>40000</v>
      </c>
      <c r="G34" s="429">
        <v>0</v>
      </c>
      <c r="H34" s="445">
        <v>0</v>
      </c>
      <c r="I34" s="436">
        <v>0</v>
      </c>
      <c r="J34" s="87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</row>
    <row r="35" spans="1:17" ht="37.5" customHeight="1">
      <c r="A35" s="86">
        <v>9</v>
      </c>
      <c r="B35" s="595" t="s">
        <v>215</v>
      </c>
      <c r="C35" s="596"/>
      <c r="D35" s="87">
        <f aca="true" t="shared" si="6" ref="D35:N35">D27-D28-D34</f>
        <v>35486267</v>
      </c>
      <c r="E35" s="87">
        <f t="shared" si="6"/>
        <v>9366057</v>
      </c>
      <c r="F35" s="92">
        <f>F27-F28-F34</f>
        <v>1205823</v>
      </c>
      <c r="G35" s="429">
        <f>G27-G28-G34</f>
        <v>19821485</v>
      </c>
      <c r="H35" s="445">
        <f>H27-H28-H34</f>
        <v>71633672</v>
      </c>
      <c r="I35" s="439">
        <f>I27-I28-I34</f>
        <v>77642152</v>
      </c>
      <c r="J35" s="87">
        <f t="shared" si="6"/>
        <v>20366000</v>
      </c>
      <c r="K35" s="87">
        <f t="shared" si="6"/>
        <v>38476000</v>
      </c>
      <c r="L35" s="87">
        <f t="shared" si="6"/>
        <v>18500000</v>
      </c>
      <c r="M35" s="87">
        <f t="shared" si="6"/>
        <v>20000000</v>
      </c>
      <c r="N35" s="87">
        <f t="shared" si="6"/>
        <v>22999999.740000002</v>
      </c>
      <c r="O35" s="87">
        <f>O27-O28-O34</f>
        <v>25500000.46</v>
      </c>
      <c r="P35" s="87">
        <f>P36</f>
        <v>26000000</v>
      </c>
      <c r="Q35" s="87">
        <f>Q36</f>
        <v>28000000</v>
      </c>
    </row>
    <row r="36" spans="1:17" ht="20.25" customHeight="1">
      <c r="A36" s="86">
        <v>10</v>
      </c>
      <c r="B36" s="595" t="s">
        <v>95</v>
      </c>
      <c r="C36" s="596"/>
      <c r="D36" s="87">
        <v>43312675.57</v>
      </c>
      <c r="E36" s="87">
        <v>33260582</v>
      </c>
      <c r="F36" s="92">
        <v>9778746</v>
      </c>
      <c r="G36" s="429">
        <v>33421485</v>
      </c>
      <c r="H36" s="445">
        <v>78533672</v>
      </c>
      <c r="I36" s="439">
        <f>I37</f>
        <v>77642152</v>
      </c>
      <c r="J36" s="87">
        <f>J37</f>
        <v>20366000</v>
      </c>
      <c r="K36" s="87">
        <f>K37</f>
        <v>38476000</v>
      </c>
      <c r="L36" s="87">
        <v>18500000</v>
      </c>
      <c r="M36" s="87">
        <v>20000000</v>
      </c>
      <c r="N36" s="87">
        <v>23000000</v>
      </c>
      <c r="O36" s="87">
        <v>25500000</v>
      </c>
      <c r="P36" s="87">
        <v>26000000</v>
      </c>
      <c r="Q36" s="87">
        <v>28000000</v>
      </c>
    </row>
    <row r="37" spans="1:17" ht="36" customHeight="1">
      <c r="A37" s="82" t="s">
        <v>67</v>
      </c>
      <c r="B37" s="96" t="s">
        <v>72</v>
      </c>
      <c r="C37" s="425" t="s">
        <v>96</v>
      </c>
      <c r="D37" s="84" t="s">
        <v>82</v>
      </c>
      <c r="E37" s="84" t="s">
        <v>82</v>
      </c>
      <c r="F37" s="94" t="s">
        <v>82</v>
      </c>
      <c r="G37" s="430">
        <v>10341509</v>
      </c>
      <c r="H37" s="446">
        <f>'Wykaz przedsięwzięć'!L15</f>
        <v>63394178</v>
      </c>
      <c r="I37" s="455">
        <f>'Wykaz przedsięwzięć'!M14</f>
        <v>77642152</v>
      </c>
      <c r="J37" s="85">
        <f>'Wykaz przedsięwzięć'!N15</f>
        <v>20366000</v>
      </c>
      <c r="K37" s="85">
        <f>'Wykaz przedsięwzięć'!O15</f>
        <v>38476000</v>
      </c>
      <c r="L37" s="85">
        <f>'Wykaz przedsięwzięć'!P15</f>
        <v>2360000</v>
      </c>
      <c r="M37" s="85"/>
      <c r="N37" s="85"/>
      <c r="O37" s="85"/>
      <c r="P37" s="85"/>
      <c r="Q37" s="85"/>
    </row>
    <row r="38" spans="1:17" ht="15">
      <c r="A38" s="97"/>
      <c r="B38" s="98"/>
      <c r="C38" s="99"/>
      <c r="D38" s="100"/>
      <c r="E38" s="100"/>
      <c r="F38" s="23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30" customHeight="1">
      <c r="A39" s="102"/>
      <c r="B39" s="103"/>
      <c r="C39" s="104"/>
      <c r="D39" s="105"/>
      <c r="E39" s="105"/>
      <c r="F39" s="23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t="30" customHeight="1">
      <c r="A40" s="102"/>
      <c r="B40" s="103"/>
      <c r="C40" s="104"/>
      <c r="D40" s="105"/>
      <c r="E40" s="105"/>
      <c r="F40" s="233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ht="37.5" customHeight="1">
      <c r="A41" s="102"/>
      <c r="B41" s="103"/>
      <c r="C41" s="104"/>
      <c r="D41" s="105"/>
      <c r="E41" s="105"/>
      <c r="F41" s="233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ht="38.25" customHeight="1">
      <c r="A42" s="102"/>
      <c r="B42" s="103"/>
      <c r="C42" s="104"/>
      <c r="D42" s="105"/>
      <c r="E42" s="105"/>
      <c r="F42" s="233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27" customHeight="1">
      <c r="A43" s="102"/>
      <c r="B43" s="103"/>
      <c r="C43" s="104"/>
      <c r="D43" s="105"/>
      <c r="E43" s="105"/>
      <c r="F43" s="233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28.5" customHeight="1">
      <c r="A44" s="102"/>
      <c r="B44" s="103"/>
      <c r="C44" s="104"/>
      <c r="D44" s="105"/>
      <c r="E44" s="105"/>
      <c r="F44" s="233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t="15">
      <c r="A45" s="102"/>
      <c r="B45" s="103"/>
      <c r="C45" s="104"/>
      <c r="D45" s="105"/>
      <c r="E45" s="105"/>
      <c r="F45" s="233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8" customHeight="1">
      <c r="A46" s="102"/>
      <c r="B46" s="103"/>
      <c r="C46" s="104"/>
      <c r="D46" s="105"/>
      <c r="E46" s="105"/>
      <c r="F46" s="233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t="6.75" customHeight="1" thickBot="1">
      <c r="A47" s="102"/>
      <c r="B47" s="103"/>
      <c r="C47" s="104"/>
      <c r="D47" s="105"/>
      <c r="E47" s="105"/>
      <c r="F47" s="233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ht="14.25" customHeight="1" thickBot="1">
      <c r="A48" s="574" t="s">
        <v>62</v>
      </c>
      <c r="B48" s="594" t="s">
        <v>63</v>
      </c>
      <c r="C48" s="594"/>
      <c r="D48" s="591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3"/>
    </row>
    <row r="49" spans="1:17" ht="14.25" customHeight="1" thickBot="1">
      <c r="A49" s="574"/>
      <c r="B49" s="594"/>
      <c r="C49" s="594"/>
      <c r="D49" s="556" t="s">
        <v>64</v>
      </c>
      <c r="E49" s="557"/>
      <c r="F49" s="558"/>
      <c r="G49" s="548" t="s">
        <v>65</v>
      </c>
      <c r="H49" s="549"/>
      <c r="I49" s="549"/>
      <c r="J49" s="549"/>
      <c r="K49" s="549"/>
      <c r="L49" s="549"/>
      <c r="M49" s="549"/>
      <c r="N49" s="549"/>
      <c r="O49" s="549"/>
      <c r="P49" s="549"/>
      <c r="Q49" s="550"/>
    </row>
    <row r="50" spans="1:17" ht="13.5" customHeight="1" thickBot="1">
      <c r="A50" s="574"/>
      <c r="B50" s="594"/>
      <c r="C50" s="591"/>
      <c r="D50" s="551">
        <v>2008</v>
      </c>
      <c r="E50" s="551">
        <v>2009</v>
      </c>
      <c r="F50" s="559">
        <v>2010</v>
      </c>
      <c r="G50" s="552" t="s">
        <v>294</v>
      </c>
      <c r="H50" s="585">
        <v>2012</v>
      </c>
      <c r="I50" s="582">
        <v>2013</v>
      </c>
      <c r="J50" s="551">
        <v>2014</v>
      </c>
      <c r="K50" s="551">
        <v>2015</v>
      </c>
      <c r="L50" s="551">
        <v>2016</v>
      </c>
      <c r="M50" s="551">
        <v>2017</v>
      </c>
      <c r="N50" s="551">
        <v>2018</v>
      </c>
      <c r="O50" s="551">
        <v>2019</v>
      </c>
      <c r="P50" s="551">
        <v>2020</v>
      </c>
      <c r="Q50" s="551">
        <v>2021</v>
      </c>
    </row>
    <row r="51" spans="1:17" ht="24.75" customHeight="1" thickBot="1">
      <c r="A51" s="574"/>
      <c r="B51" s="594"/>
      <c r="C51" s="591"/>
      <c r="D51" s="551"/>
      <c r="E51" s="551"/>
      <c r="F51" s="559"/>
      <c r="G51" s="553"/>
      <c r="H51" s="585"/>
      <c r="I51" s="582"/>
      <c r="J51" s="551"/>
      <c r="K51" s="551"/>
      <c r="L51" s="551"/>
      <c r="M51" s="551"/>
      <c r="N51" s="551"/>
      <c r="O51" s="551"/>
      <c r="P51" s="551"/>
      <c r="Q51" s="551"/>
    </row>
    <row r="52" spans="1:17" ht="27" customHeight="1">
      <c r="A52" s="89">
        <v>11</v>
      </c>
      <c r="B52" s="571" t="s">
        <v>97</v>
      </c>
      <c r="C52" s="560"/>
      <c r="D52" s="90">
        <v>11546170</v>
      </c>
      <c r="E52" s="90">
        <v>25140000</v>
      </c>
      <c r="F52" s="92">
        <v>9000000</v>
      </c>
      <c r="G52" s="429">
        <f>SUM(G53:G56)</f>
        <v>13600000</v>
      </c>
      <c r="H52" s="445">
        <f>SUM(H53:H56)</f>
        <v>6900000</v>
      </c>
      <c r="I52" s="436">
        <v>0</v>
      </c>
      <c r="J52" s="87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</row>
    <row r="53" spans="1:17" ht="21" customHeight="1">
      <c r="A53" s="107"/>
      <c r="B53" s="579" t="s">
        <v>72</v>
      </c>
      <c r="C53" s="427" t="s">
        <v>90</v>
      </c>
      <c r="D53" s="84">
        <v>7546170</v>
      </c>
      <c r="E53" s="84">
        <v>6330000</v>
      </c>
      <c r="F53" s="85"/>
      <c r="G53" s="430">
        <v>2100000</v>
      </c>
      <c r="H53" s="446"/>
      <c r="I53" s="436"/>
      <c r="J53" s="87"/>
      <c r="K53" s="90"/>
      <c r="L53" s="90"/>
      <c r="M53" s="90"/>
      <c r="N53" s="90"/>
      <c r="O53" s="90"/>
      <c r="P53" s="90"/>
      <c r="Q53" s="90"/>
    </row>
    <row r="54" spans="1:17" ht="21" customHeight="1">
      <c r="A54" s="126"/>
      <c r="B54" s="580"/>
      <c r="C54" s="427" t="s">
        <v>91</v>
      </c>
      <c r="D54" s="84">
        <v>4000000</v>
      </c>
      <c r="E54" s="84">
        <v>4810000</v>
      </c>
      <c r="F54" s="85"/>
      <c r="G54" s="430">
        <v>0</v>
      </c>
      <c r="H54" s="446"/>
      <c r="I54" s="436"/>
      <c r="J54" s="87"/>
      <c r="K54" s="90"/>
      <c r="L54" s="90"/>
      <c r="M54" s="90"/>
      <c r="N54" s="90"/>
      <c r="O54" s="90"/>
      <c r="P54" s="90"/>
      <c r="Q54" s="90"/>
    </row>
    <row r="55" spans="1:17" ht="21" customHeight="1">
      <c r="A55" s="126"/>
      <c r="B55" s="580"/>
      <c r="C55" s="427" t="s">
        <v>216</v>
      </c>
      <c r="D55" s="84"/>
      <c r="E55" s="84">
        <v>14000000</v>
      </c>
      <c r="F55" s="85">
        <v>9000000</v>
      </c>
      <c r="G55" s="430">
        <v>7000000</v>
      </c>
      <c r="H55" s="446"/>
      <c r="I55" s="436"/>
      <c r="J55" s="87"/>
      <c r="K55" s="90"/>
      <c r="L55" s="90"/>
      <c r="M55" s="90"/>
      <c r="N55" s="90"/>
      <c r="O55" s="90"/>
      <c r="P55" s="90"/>
      <c r="Q55" s="90"/>
    </row>
    <row r="56" spans="1:17" ht="36.75" customHeight="1">
      <c r="A56" s="126"/>
      <c r="B56" s="581"/>
      <c r="C56" s="427" t="s">
        <v>217</v>
      </c>
      <c r="D56" s="84"/>
      <c r="E56" s="84"/>
      <c r="F56" s="85"/>
      <c r="G56" s="430">
        <v>4500000</v>
      </c>
      <c r="H56" s="446">
        <v>6900000</v>
      </c>
      <c r="I56" s="436"/>
      <c r="J56" s="87"/>
      <c r="K56" s="90"/>
      <c r="L56" s="90"/>
      <c r="M56" s="90"/>
      <c r="N56" s="90"/>
      <c r="O56" s="90"/>
      <c r="P56" s="90"/>
      <c r="Q56" s="90"/>
    </row>
    <row r="57" spans="1:18" ht="68.25" customHeight="1">
      <c r="A57" s="89" t="s">
        <v>67</v>
      </c>
      <c r="B57" s="575" t="s">
        <v>99</v>
      </c>
      <c r="C57" s="576"/>
      <c r="D57" s="84">
        <v>15733115</v>
      </c>
      <c r="E57" s="84">
        <v>3719761</v>
      </c>
      <c r="F57" s="85">
        <v>1245475</v>
      </c>
      <c r="G57" s="430">
        <v>427077</v>
      </c>
      <c r="H57" s="446">
        <v>4004678</v>
      </c>
      <c r="I57" s="436"/>
      <c r="J57" s="87"/>
      <c r="K57" s="90"/>
      <c r="L57" s="90"/>
      <c r="M57" s="90"/>
      <c r="N57" s="90"/>
      <c r="O57" s="90"/>
      <c r="P57" s="90"/>
      <c r="Q57" s="90"/>
      <c r="R57" s="479"/>
    </row>
    <row r="58" spans="1:18" ht="21" customHeight="1">
      <c r="A58" s="89" t="s">
        <v>69</v>
      </c>
      <c r="B58" s="575" t="s">
        <v>100</v>
      </c>
      <c r="C58" s="576"/>
      <c r="D58" s="84">
        <v>4121265</v>
      </c>
      <c r="E58" s="84"/>
      <c r="F58" s="85"/>
      <c r="G58" s="430"/>
      <c r="H58" s="446"/>
      <c r="I58" s="436"/>
      <c r="J58" s="87"/>
      <c r="K58" s="90"/>
      <c r="L58" s="90"/>
      <c r="M58" s="90"/>
      <c r="N58" s="90"/>
      <c r="O58" s="90"/>
      <c r="P58" s="90"/>
      <c r="Q58" s="90"/>
      <c r="R58" s="479"/>
    </row>
    <row r="59" spans="1:18" ht="29.25" customHeight="1">
      <c r="A59" s="108">
        <v>12</v>
      </c>
      <c r="B59" s="572" t="s">
        <v>101</v>
      </c>
      <c r="C59" s="573"/>
      <c r="D59" s="109">
        <f aca="true" t="shared" si="7" ref="D59:J59">D35-D36+D52</f>
        <v>3719761.4299999997</v>
      </c>
      <c r="E59" s="228">
        <f t="shared" si="7"/>
        <v>1245475</v>
      </c>
      <c r="F59" s="229">
        <f t="shared" si="7"/>
        <v>427077</v>
      </c>
      <c r="G59" s="431">
        <f t="shared" si="7"/>
        <v>0</v>
      </c>
      <c r="H59" s="447">
        <f t="shared" si="7"/>
        <v>0</v>
      </c>
      <c r="I59" s="437">
        <f t="shared" si="7"/>
        <v>0</v>
      </c>
      <c r="J59" s="110">
        <f t="shared" si="7"/>
        <v>0</v>
      </c>
      <c r="K59" s="110">
        <f aca="true" t="shared" si="8" ref="K59:Q59">K35-K36+K52</f>
        <v>0</v>
      </c>
      <c r="L59" s="110">
        <f t="shared" si="8"/>
        <v>0</v>
      </c>
      <c r="M59" s="110">
        <f t="shared" si="8"/>
        <v>0</v>
      </c>
      <c r="N59" s="110">
        <f t="shared" si="8"/>
        <v>-0.25999999791383743</v>
      </c>
      <c r="O59" s="110">
        <f t="shared" si="8"/>
        <v>0.46000000089406967</v>
      </c>
      <c r="P59" s="110">
        <f t="shared" si="8"/>
        <v>0</v>
      </c>
      <c r="Q59" s="110">
        <f t="shared" si="8"/>
        <v>0</v>
      </c>
      <c r="R59" s="480"/>
    </row>
    <row r="60" spans="1:18" ht="22.5" customHeight="1">
      <c r="A60" s="111">
        <v>13</v>
      </c>
      <c r="B60" s="577" t="s">
        <v>102</v>
      </c>
      <c r="C60" s="578"/>
      <c r="D60" s="91">
        <f>'Prognoza długu'!C10</f>
        <v>24061046</v>
      </c>
      <c r="E60" s="91">
        <f>'Prognoza długu'!D10</f>
        <v>45737732</v>
      </c>
      <c r="F60" s="92">
        <f>'Prognoza długu'!E10</f>
        <v>47797647</v>
      </c>
      <c r="G60" s="432">
        <f>'Prognoza długu'!F10</f>
        <v>56846062</v>
      </c>
      <c r="H60" s="448">
        <f>'Prognoza długu'!G10</f>
        <v>56811022</v>
      </c>
      <c r="I60" s="438">
        <f>'Prognoza długu'!H10</f>
        <v>49544123</v>
      </c>
      <c r="J60" s="92">
        <f>'Prognoza długu'!I10</f>
        <v>42437670</v>
      </c>
      <c r="K60" s="92">
        <f>'Prognoza długu'!J10</f>
        <v>36287670</v>
      </c>
      <c r="L60" s="91">
        <f>'Prognoza długu'!K10</f>
        <v>30037670</v>
      </c>
      <c r="M60" s="91">
        <f>'Prognoza długu'!L10</f>
        <v>23236500</v>
      </c>
      <c r="N60" s="91">
        <f>'Prognoza długu'!M10</f>
        <v>18174472</v>
      </c>
      <c r="O60" s="91">
        <f>'Prognoza długu'!N10</f>
        <v>10823949</v>
      </c>
      <c r="P60" s="91">
        <f>'Prognoza długu'!O10</f>
        <v>4523949</v>
      </c>
      <c r="Q60" s="91">
        <f>'Prognoza długu'!P10</f>
        <v>0</v>
      </c>
      <c r="R60" s="481"/>
    </row>
    <row r="61" spans="1:18" ht="65.25" customHeight="1">
      <c r="A61" s="569"/>
      <c r="B61" s="570" t="s">
        <v>72</v>
      </c>
      <c r="C61" s="425" t="s">
        <v>103</v>
      </c>
      <c r="D61" s="90">
        <v>0</v>
      </c>
      <c r="E61" s="90">
        <v>0</v>
      </c>
      <c r="F61" s="87">
        <v>0</v>
      </c>
      <c r="G61" s="429">
        <v>2100000</v>
      </c>
      <c r="H61" s="445">
        <v>2050000</v>
      </c>
      <c r="I61" s="439">
        <v>2000000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479"/>
    </row>
    <row r="62" spans="1:17" ht="87.75" customHeight="1">
      <c r="A62" s="569"/>
      <c r="B62" s="570"/>
      <c r="C62" s="425" t="s">
        <v>230</v>
      </c>
      <c r="D62" s="90">
        <v>0</v>
      </c>
      <c r="E62" s="90">
        <v>0</v>
      </c>
      <c r="F62" s="87">
        <v>0</v>
      </c>
      <c r="G62" s="429"/>
      <c r="H62" s="445">
        <v>50000</v>
      </c>
      <c r="I62" s="439">
        <v>50000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</row>
    <row r="63" spans="1:17" ht="66" customHeight="1">
      <c r="A63" s="111">
        <v>14</v>
      </c>
      <c r="B63" s="583" t="s">
        <v>104</v>
      </c>
      <c r="C63" s="584"/>
      <c r="D63" s="90">
        <v>0</v>
      </c>
      <c r="E63" s="90">
        <v>0</v>
      </c>
      <c r="F63" s="87">
        <v>0</v>
      </c>
      <c r="G63" s="429">
        <v>0</v>
      </c>
      <c r="H63" s="445">
        <v>0</v>
      </c>
      <c r="I63" s="439">
        <v>0</v>
      </c>
      <c r="J63" s="87">
        <v>0</v>
      </c>
      <c r="K63" s="87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</row>
    <row r="64" spans="1:17" ht="39" customHeight="1">
      <c r="A64" s="111">
        <v>15</v>
      </c>
      <c r="B64" s="583" t="s">
        <v>219</v>
      </c>
      <c r="C64" s="584"/>
      <c r="D64" s="112">
        <f aca="true" t="shared" si="9" ref="D64:I64">D28/D13*100</f>
        <v>2.328259487896857</v>
      </c>
      <c r="E64" s="112">
        <f t="shared" si="9"/>
        <v>5.510659630018439</v>
      </c>
      <c r="F64" s="230">
        <f t="shared" si="9"/>
        <v>10.653694792951553</v>
      </c>
      <c r="G64" s="230">
        <f>G28/G13*100</f>
        <v>6.023511077561799</v>
      </c>
      <c r="H64" s="474">
        <f>H28/H13*100</f>
        <v>5.2234098996288125</v>
      </c>
      <c r="I64" s="230">
        <f t="shared" si="9"/>
        <v>6.13573812579099</v>
      </c>
      <c r="J64" s="230"/>
      <c r="K64" s="230"/>
      <c r="L64" s="112"/>
      <c r="M64" s="112"/>
      <c r="N64" s="112"/>
      <c r="O64" s="112"/>
      <c r="P64" s="112"/>
      <c r="Q64" s="112"/>
    </row>
    <row r="65" spans="1:17" ht="39" customHeight="1">
      <c r="A65" s="111">
        <v>16</v>
      </c>
      <c r="B65" s="583" t="s">
        <v>218</v>
      </c>
      <c r="C65" s="584"/>
      <c r="D65" s="112">
        <f aca="true" t="shared" si="10" ref="D65:I65">D60/D13*100</f>
        <v>29.735586739681374</v>
      </c>
      <c r="E65" s="112">
        <f t="shared" si="10"/>
        <v>55.98274647127499</v>
      </c>
      <c r="F65" s="230">
        <f t="shared" si="10"/>
        <v>56.16915056018266</v>
      </c>
      <c r="G65" s="433">
        <f t="shared" si="10"/>
        <v>49.7435679254916</v>
      </c>
      <c r="H65" s="449">
        <f t="shared" si="10"/>
        <v>32.14009580088123</v>
      </c>
      <c r="I65" s="440">
        <f t="shared" si="10"/>
        <v>29.12660125288637</v>
      </c>
      <c r="J65" s="230"/>
      <c r="K65" s="230"/>
      <c r="L65" s="112"/>
      <c r="M65" s="112"/>
      <c r="N65" s="112"/>
      <c r="O65" s="112"/>
      <c r="P65" s="112"/>
      <c r="Q65" s="112"/>
    </row>
    <row r="66" spans="1:17" ht="66.75" customHeight="1">
      <c r="A66" s="113">
        <v>17</v>
      </c>
      <c r="B66" s="583" t="s">
        <v>105</v>
      </c>
      <c r="C66" s="584"/>
      <c r="D66" s="423" t="s">
        <v>71</v>
      </c>
      <c r="E66" s="423" t="s">
        <v>71</v>
      </c>
      <c r="F66" s="231">
        <v>0.1911</v>
      </c>
      <c r="G66" s="434">
        <f>1/3*((D14+D16-'Prognoza długu'!C25)/WPF!D13+(WPF!E14+WPF!E16-'Prognoza długu'!D25)/WPF!E13+(WPF!F14+WPF!F16-'Prognoza długu'!E25)/WPF!F13)</f>
        <v>0.1291721492426357</v>
      </c>
      <c r="H66" s="450">
        <v>0.0951</v>
      </c>
      <c r="I66" s="441">
        <v>0.1634</v>
      </c>
      <c r="J66" s="231">
        <v>0.2436</v>
      </c>
      <c r="K66" s="231">
        <f>1/3*((H14+H16-'Prognoza długu'!G25)/WPF!H13+(WPF!I14+WPF!I16-'Prognoza długu'!H25)/WPF!I13+(WPF!J14+WPF!J16-'Prognoza długu'!I25)/WPF!J13)</f>
        <v>0.2885032199156537</v>
      </c>
      <c r="L66" s="423">
        <f>1/3*((I14+I16-'Prognoza długu'!H25)/WPF!I13+(WPF!J14+WPF!J16-'Prognoza długu'!I25)/WPF!J13+(WPF!K14+WPF!K16-'Prognoza długu'!J25)/WPF!K13)</f>
        <v>0.2782406662407839</v>
      </c>
      <c r="M66" s="423">
        <f>1/3*((J14+J16-'Prognoza długu'!I25)/WPF!J13+(WPF!K14+WPF!K16-'Prognoza długu'!J25)/WPF!K13+(WPF!L14+WPF!L16-'Prognoza długu'!K25)/WPF!L13)</f>
        <v>0.2388988932679441</v>
      </c>
      <c r="N66" s="423">
        <f>1/3*((K14+K16-'Prognoza długu'!J25)/WPF!K13+(WPF!L14+WPF!L16-'Prognoza długu'!K25)/WPF!L13+(WPF!M14+WPF!M16-'Prognoza długu'!L25)/WPF!M13)</f>
        <v>0.22703976634294476</v>
      </c>
      <c r="O66" s="423">
        <f>1/3*((L14+L16-'Prognoza długu'!K25)/WPF!L13+(WPF!M14+WPF!M16-'Prognoza długu'!L25)/WPF!M13+(WPF!N14+WPF!N16-'Prognoza długu'!M25)/WPF!N13)</f>
        <v>0.2048225586267341</v>
      </c>
      <c r="P66" s="423">
        <f>1/3*((M14+M16-'Prognoza długu'!L25)/WPF!M13+(WPF!N14+WPF!N16-'Prognoza długu'!M25)/WPF!N13+(WPF!O14+WPF!O16-'Prognoza długu'!N25)/WPF!O13)</f>
        <v>0.2171490773932484</v>
      </c>
      <c r="Q66" s="423">
        <f>1/3*((N14+N16-'Prognoza długu'!M25)/WPF!N13+(WPF!O14+WPF!O16-'Prognoza długu'!N25)/WPF!O13+(WPF!P14+WPF!P16-'Prognoza długu'!O25)/WPF!P13)</f>
        <v>0.22294167223691674</v>
      </c>
    </row>
    <row r="67" spans="1:17" ht="33.75" customHeight="1">
      <c r="A67" s="113">
        <v>18</v>
      </c>
      <c r="B67" s="583" t="s">
        <v>106</v>
      </c>
      <c r="C67" s="584"/>
      <c r="D67" s="114">
        <f aca="true" t="shared" si="11" ref="D67:Q67">D28/D13</f>
        <v>0.023282594878968572</v>
      </c>
      <c r="E67" s="114">
        <f t="shared" si="11"/>
        <v>0.055106596300184385</v>
      </c>
      <c r="F67" s="231">
        <f t="shared" si="11"/>
        <v>0.10653694792951553</v>
      </c>
      <c r="G67" s="434">
        <f t="shared" si="11"/>
        <v>0.06023511077561799</v>
      </c>
      <c r="H67" s="450">
        <f t="shared" si="11"/>
        <v>0.05223409899628813</v>
      </c>
      <c r="I67" s="441">
        <f t="shared" si="11"/>
        <v>0.061357381257909904</v>
      </c>
      <c r="J67" s="231">
        <f t="shared" si="11"/>
        <v>0.08728888105736482</v>
      </c>
      <c r="K67" s="231">
        <f t="shared" si="11"/>
        <v>0.06660524659229146</v>
      </c>
      <c r="L67" s="114">
        <f t="shared" si="11"/>
        <v>0.06762204378541244</v>
      </c>
      <c r="M67" s="114">
        <f t="shared" si="11"/>
        <v>0.06750839351544803</v>
      </c>
      <c r="N67" s="114">
        <f t="shared" si="11"/>
        <v>0.04909188090104212</v>
      </c>
      <c r="O67" s="114">
        <f t="shared" si="11"/>
        <v>0.060479011713379424</v>
      </c>
      <c r="P67" s="114">
        <f t="shared" si="11"/>
        <v>0.04811166930487907</v>
      </c>
      <c r="Q67" s="114">
        <f t="shared" si="11"/>
        <v>0.03217987218700601</v>
      </c>
    </row>
    <row r="68" spans="1:17" ht="38.25" customHeight="1">
      <c r="A68" s="113">
        <v>19</v>
      </c>
      <c r="B68" s="583" t="s">
        <v>107</v>
      </c>
      <c r="C68" s="584"/>
      <c r="D68" s="423" t="s">
        <v>71</v>
      </c>
      <c r="E68" s="423" t="s">
        <v>71</v>
      </c>
      <c r="F68" s="231">
        <f>F66-F67</f>
        <v>0.08456305207048447</v>
      </c>
      <c r="G68" s="434">
        <f aca="true" t="shared" si="12" ref="G68:Q68">G66-G67</f>
        <v>0.06893703846701771</v>
      </c>
      <c r="H68" s="450">
        <f t="shared" si="12"/>
        <v>0.042865901003711876</v>
      </c>
      <c r="I68" s="441">
        <f t="shared" si="12"/>
        <v>0.10204261874209009</v>
      </c>
      <c r="J68" s="231">
        <f t="shared" si="12"/>
        <v>0.1563111189426352</v>
      </c>
      <c r="K68" s="231">
        <f t="shared" si="12"/>
        <v>0.22189797332336225</v>
      </c>
      <c r="L68" s="231">
        <f t="shared" si="12"/>
        <v>0.2106186224553715</v>
      </c>
      <c r="M68" s="231">
        <f t="shared" si="12"/>
        <v>0.1713904997524961</v>
      </c>
      <c r="N68" s="231">
        <f t="shared" si="12"/>
        <v>0.17794788544190265</v>
      </c>
      <c r="O68" s="231">
        <f t="shared" si="12"/>
        <v>0.14434354691335466</v>
      </c>
      <c r="P68" s="231">
        <f t="shared" si="12"/>
        <v>0.16903740808836934</v>
      </c>
      <c r="Q68" s="231">
        <f t="shared" si="12"/>
        <v>0.19076180004991072</v>
      </c>
    </row>
    <row r="69" spans="1:17" ht="16.5" customHeight="1">
      <c r="A69" s="113">
        <v>20</v>
      </c>
      <c r="B69" s="583" t="s">
        <v>108</v>
      </c>
      <c r="C69" s="584"/>
      <c r="D69" s="91">
        <f>'Prognoza długu'!C24</f>
        <v>107175456.57</v>
      </c>
      <c r="E69" s="91">
        <f>'Prognoza długu'!D24</f>
        <v>105850665</v>
      </c>
      <c r="F69" s="91">
        <f>'Prognoza długu'!E24</f>
        <v>87934218</v>
      </c>
      <c r="G69" s="432">
        <f>'Prognoza długu'!F24</f>
        <v>123753708</v>
      </c>
      <c r="H69" s="448">
        <f>'Prognoza długu'!G24</f>
        <v>180730225</v>
      </c>
      <c r="I69" s="442">
        <f>'Prognoza długu'!H24</f>
        <v>162832326</v>
      </c>
      <c r="J69" s="91">
        <f>'Prognoza długu'!I24</f>
        <v>105850133</v>
      </c>
      <c r="K69" s="91">
        <f>'Prognoza długu'!J24</f>
        <v>123284338</v>
      </c>
      <c r="L69" s="91">
        <f>'Prognoza długu'!K24</f>
        <v>118598430</v>
      </c>
      <c r="M69" s="91">
        <f>'Prognoza długu'!L24</f>
        <v>122277046</v>
      </c>
      <c r="N69" s="91">
        <f>'Prognoza długu'!M24</f>
        <v>129468553.26</v>
      </c>
      <c r="O69" s="91">
        <f>'Prognoza długu'!N24</f>
        <v>132308232.54</v>
      </c>
      <c r="P69" s="91">
        <f>'Prognoza długu'!O24</f>
        <v>137247325.43</v>
      </c>
      <c r="Q69" s="91">
        <f>'Prognoza długu'!P24</f>
        <v>142134692.3225</v>
      </c>
    </row>
    <row r="70" spans="1:17" ht="16.5" customHeight="1">
      <c r="A70" s="113">
        <v>21</v>
      </c>
      <c r="B70" s="583" t="s">
        <v>109</v>
      </c>
      <c r="C70" s="584"/>
      <c r="D70" s="91">
        <f>'Prognoza długu'!C25</f>
        <v>63862781</v>
      </c>
      <c r="E70" s="91">
        <f>'Prognoza długu'!D25</f>
        <v>72590083</v>
      </c>
      <c r="F70" s="91">
        <f>'Prognoza długu'!E25</f>
        <v>78155472</v>
      </c>
      <c r="G70" s="432">
        <f>'Prognoza długu'!F25</f>
        <v>90332223</v>
      </c>
      <c r="H70" s="448">
        <f>'Prognoza długu'!G25</f>
        <v>102196553</v>
      </c>
      <c r="I70" s="442">
        <f>'Prognoza długu'!H25</f>
        <v>85190174</v>
      </c>
      <c r="J70" s="91">
        <f>'Prognoza długu'!I25</f>
        <v>85484133</v>
      </c>
      <c r="K70" s="91">
        <f>'Prognoza długu'!J25</f>
        <v>84808338</v>
      </c>
      <c r="L70" s="91">
        <f>'Prognoza długu'!K25</f>
        <v>100098430</v>
      </c>
      <c r="M70" s="91">
        <f>'Prognoza długu'!L25</f>
        <v>102277046</v>
      </c>
      <c r="N70" s="91">
        <f>'Prognoza długu'!M25</f>
        <v>106468553.26</v>
      </c>
      <c r="O70" s="91">
        <f>'Prognoza długu'!N25</f>
        <v>106808232.54</v>
      </c>
      <c r="P70" s="91">
        <f>'Prognoza długu'!O25</f>
        <v>111247325.43</v>
      </c>
      <c r="Q70" s="91">
        <f>'Prognoza długu'!P25</f>
        <v>114134692.3225</v>
      </c>
    </row>
    <row r="71" spans="1:17" ht="35.25" customHeight="1">
      <c r="A71" s="113">
        <v>22</v>
      </c>
      <c r="B71" s="583" t="s">
        <v>139</v>
      </c>
      <c r="C71" s="584"/>
      <c r="D71" s="91">
        <f aca="true" t="shared" si="13" ref="D71:N71">D13-D69</f>
        <v>-26258788.569999993</v>
      </c>
      <c r="E71" s="91">
        <f t="shared" si="13"/>
        <v>-24150972</v>
      </c>
      <c r="F71" s="91">
        <f t="shared" si="13"/>
        <v>-2838313</v>
      </c>
      <c r="G71" s="432">
        <f t="shared" si="13"/>
        <v>-9475492</v>
      </c>
      <c r="H71" s="448">
        <f t="shared" si="13"/>
        <v>-3969638</v>
      </c>
      <c r="I71" s="442">
        <f t="shared" si="13"/>
        <v>7266899</v>
      </c>
      <c r="J71" s="91">
        <f t="shared" si="13"/>
        <v>7106453</v>
      </c>
      <c r="K71" s="91">
        <f t="shared" si="13"/>
        <v>6150000</v>
      </c>
      <c r="L71" s="91">
        <f t="shared" si="13"/>
        <v>6250000</v>
      </c>
      <c r="M71" s="91">
        <f t="shared" si="13"/>
        <v>6801170</v>
      </c>
      <c r="N71" s="91">
        <f t="shared" si="13"/>
        <v>5062027.739999995</v>
      </c>
      <c r="O71" s="91">
        <f>O13-O69</f>
        <v>7350523.459999993</v>
      </c>
      <c r="P71" s="91">
        <f>P13-P69</f>
        <v>6299999.569999993</v>
      </c>
      <c r="Q71" s="91">
        <f>Q13-Q69</f>
        <v>4523948.67750001</v>
      </c>
    </row>
    <row r="72" spans="1:17" ht="17.25" customHeight="1">
      <c r="A72" s="111">
        <v>23</v>
      </c>
      <c r="B72" s="560" t="s">
        <v>211</v>
      </c>
      <c r="C72" s="561"/>
      <c r="D72" s="90">
        <f>SUM(D73:D77)</f>
        <v>26258789</v>
      </c>
      <c r="E72" s="90">
        <f>SUM(E73:E77)</f>
        <v>24150972</v>
      </c>
      <c r="F72" s="90">
        <f>SUM(F73:F77)</f>
        <v>2838313</v>
      </c>
      <c r="G72" s="429">
        <f>SUM(G73:G77)</f>
        <v>9475492</v>
      </c>
      <c r="H72" s="445">
        <f>SUM(H73:H77)</f>
        <v>3969638</v>
      </c>
      <c r="I72" s="442"/>
      <c r="J72" s="91"/>
      <c r="K72" s="91"/>
      <c r="L72" s="91"/>
      <c r="M72" s="91"/>
      <c r="N72" s="91"/>
      <c r="O72" s="91"/>
      <c r="P72" s="91"/>
      <c r="Q72" s="91"/>
    </row>
    <row r="73" spans="1:17" ht="15" customHeight="1">
      <c r="A73" s="115" t="s">
        <v>67</v>
      </c>
      <c r="B73" s="562" t="s">
        <v>90</v>
      </c>
      <c r="C73" s="561"/>
      <c r="D73" s="84">
        <v>7546170</v>
      </c>
      <c r="E73" s="84">
        <v>6330000</v>
      </c>
      <c r="F73" s="84"/>
      <c r="G73" s="430">
        <v>2100000</v>
      </c>
      <c r="H73" s="448"/>
      <c r="I73" s="442"/>
      <c r="J73" s="91"/>
      <c r="K73" s="91"/>
      <c r="L73" s="91"/>
      <c r="M73" s="91"/>
      <c r="N73" s="91"/>
      <c r="O73" s="91"/>
      <c r="P73" s="91"/>
      <c r="Q73" s="91"/>
    </row>
    <row r="74" spans="1:17" ht="15" customHeight="1">
      <c r="A74" s="115" t="s">
        <v>69</v>
      </c>
      <c r="B74" s="562" t="s">
        <v>91</v>
      </c>
      <c r="C74" s="561"/>
      <c r="D74" s="84">
        <v>4000000</v>
      </c>
      <c r="E74" s="84">
        <v>4810000</v>
      </c>
      <c r="F74" s="84"/>
      <c r="G74" s="430"/>
      <c r="H74" s="448"/>
      <c r="I74" s="442"/>
      <c r="J74" s="91"/>
      <c r="K74" s="91"/>
      <c r="L74" s="91"/>
      <c r="M74" s="91"/>
      <c r="N74" s="91"/>
      <c r="O74" s="91"/>
      <c r="P74" s="91"/>
      <c r="Q74" s="91"/>
    </row>
    <row r="75" spans="1:17" ht="15" customHeight="1">
      <c r="A75" s="115" t="s">
        <v>77</v>
      </c>
      <c r="B75" s="562" t="s">
        <v>209</v>
      </c>
      <c r="C75" s="561"/>
      <c r="D75" s="84">
        <v>2699265</v>
      </c>
      <c r="E75" s="84"/>
      <c r="F75" s="84"/>
      <c r="G75" s="430"/>
      <c r="H75" s="448"/>
      <c r="I75" s="442"/>
      <c r="J75" s="91"/>
      <c r="K75" s="91"/>
      <c r="L75" s="91"/>
      <c r="M75" s="91"/>
      <c r="N75" s="91"/>
      <c r="O75" s="91"/>
      <c r="P75" s="91"/>
      <c r="Q75" s="91"/>
    </row>
    <row r="76" spans="1:17" ht="48.75" customHeight="1">
      <c r="A76" s="115" t="s">
        <v>80</v>
      </c>
      <c r="B76" s="575" t="s">
        <v>99</v>
      </c>
      <c r="C76" s="561"/>
      <c r="D76" s="84">
        <v>12013354</v>
      </c>
      <c r="E76" s="84"/>
      <c r="F76" s="84"/>
      <c r="G76" s="430">
        <v>375492</v>
      </c>
      <c r="H76" s="448">
        <v>3969638</v>
      </c>
      <c r="I76" s="442"/>
      <c r="J76" s="91"/>
      <c r="K76" s="91"/>
      <c r="L76" s="91"/>
      <c r="M76" s="91"/>
      <c r="N76" s="91"/>
      <c r="O76" s="91"/>
      <c r="P76" s="91"/>
      <c r="Q76" s="91"/>
    </row>
    <row r="77" spans="1:18" ht="15" customHeight="1">
      <c r="A77" s="115" t="s">
        <v>141</v>
      </c>
      <c r="B77" s="588" t="s">
        <v>214</v>
      </c>
      <c r="C77" s="589"/>
      <c r="D77" s="84"/>
      <c r="E77" s="84">
        <v>13010972</v>
      </c>
      <c r="F77" s="84">
        <v>2838313</v>
      </c>
      <c r="G77" s="430">
        <v>7000000</v>
      </c>
      <c r="H77" s="448"/>
      <c r="I77" s="442"/>
      <c r="J77" s="91"/>
      <c r="K77" s="91"/>
      <c r="L77" s="91"/>
      <c r="M77" s="91"/>
      <c r="N77" s="91"/>
      <c r="O77" s="91"/>
      <c r="P77" s="91"/>
      <c r="Q77" s="91"/>
      <c r="R77" s="36"/>
    </row>
    <row r="78" spans="1:18" ht="17.25" customHeight="1">
      <c r="A78" s="111">
        <v>24</v>
      </c>
      <c r="B78" s="560" t="s">
        <v>212</v>
      </c>
      <c r="C78" s="561"/>
      <c r="D78" s="90"/>
      <c r="E78" s="90"/>
      <c r="F78" s="90"/>
      <c r="G78" s="429"/>
      <c r="H78" s="448">
        <f>SUM(H79:H81)</f>
        <v>0</v>
      </c>
      <c r="I78" s="442">
        <f aca="true" t="shared" si="14" ref="I78:Q78">SUM(I79:I81)</f>
        <v>7266899</v>
      </c>
      <c r="J78" s="91">
        <f t="shared" si="14"/>
        <v>7106453</v>
      </c>
      <c r="K78" s="91">
        <f t="shared" si="14"/>
        <v>6150000</v>
      </c>
      <c r="L78" s="91">
        <f t="shared" si="14"/>
        <v>6250000</v>
      </c>
      <c r="M78" s="91">
        <f t="shared" si="14"/>
        <v>6801170</v>
      </c>
      <c r="N78" s="91">
        <f t="shared" si="14"/>
        <v>5062028</v>
      </c>
      <c r="O78" s="91">
        <f t="shared" si="14"/>
        <v>7350523</v>
      </c>
      <c r="P78" s="91">
        <f t="shared" si="14"/>
        <v>6300000</v>
      </c>
      <c r="Q78" s="91">
        <f t="shared" si="14"/>
        <v>4523949</v>
      </c>
      <c r="R78" s="422"/>
    </row>
    <row r="79" spans="1:18" ht="15" customHeight="1">
      <c r="A79" s="116" t="s">
        <v>67</v>
      </c>
      <c r="B79" s="562" t="s">
        <v>208</v>
      </c>
      <c r="C79" s="561"/>
      <c r="D79" s="85"/>
      <c r="E79" s="85"/>
      <c r="F79" s="117"/>
      <c r="G79" s="430"/>
      <c r="H79" s="451"/>
      <c r="I79" s="443">
        <f>I30</f>
        <v>3666899</v>
      </c>
      <c r="J79" s="83">
        <f aca="true" t="shared" si="15" ref="J79:Q79">J30</f>
        <v>3506453</v>
      </c>
      <c r="K79" s="83">
        <f t="shared" si="15"/>
        <v>2550000</v>
      </c>
      <c r="L79" s="83">
        <f t="shared" si="15"/>
        <v>2550000</v>
      </c>
      <c r="M79" s="83">
        <f t="shared" si="15"/>
        <v>2401170</v>
      </c>
      <c r="N79" s="83">
        <f t="shared" si="15"/>
        <v>62028</v>
      </c>
      <c r="O79" s="83">
        <f t="shared" si="15"/>
        <v>750523</v>
      </c>
      <c r="P79" s="83">
        <f t="shared" si="15"/>
        <v>600000</v>
      </c>
      <c r="Q79" s="83">
        <f t="shared" si="15"/>
        <v>423949</v>
      </c>
      <c r="R79" s="36"/>
    </row>
    <row r="80" spans="1:17" ht="15" customHeight="1">
      <c r="A80" s="116" t="s">
        <v>69</v>
      </c>
      <c r="B80" s="562" t="s">
        <v>213</v>
      </c>
      <c r="C80" s="561"/>
      <c r="D80" s="85"/>
      <c r="E80" s="85"/>
      <c r="F80" s="117"/>
      <c r="G80" s="430"/>
      <c r="H80" s="451"/>
      <c r="I80" s="443">
        <f>I31</f>
        <v>600000</v>
      </c>
      <c r="J80" s="83">
        <f aca="true" t="shared" si="16" ref="J80:Q80">J31</f>
        <v>600000</v>
      </c>
      <c r="K80" s="83">
        <f t="shared" si="16"/>
        <v>600000</v>
      </c>
      <c r="L80" s="83">
        <f t="shared" si="16"/>
        <v>700000</v>
      </c>
      <c r="M80" s="83">
        <f t="shared" si="16"/>
        <v>1400000</v>
      </c>
      <c r="N80" s="83">
        <f t="shared" si="16"/>
        <v>0</v>
      </c>
      <c r="O80" s="83">
        <f t="shared" si="16"/>
        <v>0</v>
      </c>
      <c r="P80" s="83">
        <f t="shared" si="16"/>
        <v>0</v>
      </c>
      <c r="Q80" s="83">
        <f t="shared" si="16"/>
        <v>0</v>
      </c>
    </row>
    <row r="81" spans="1:17" ht="15" customHeight="1">
      <c r="A81" s="116" t="s">
        <v>77</v>
      </c>
      <c r="B81" s="562" t="s">
        <v>92</v>
      </c>
      <c r="C81" s="561"/>
      <c r="D81" s="85"/>
      <c r="E81" s="85"/>
      <c r="F81" s="117"/>
      <c r="G81" s="430"/>
      <c r="H81" s="451"/>
      <c r="I81" s="443">
        <f>I32</f>
        <v>3000000</v>
      </c>
      <c r="J81" s="83">
        <f aca="true" t="shared" si="17" ref="J81:Q81">J32</f>
        <v>3000000</v>
      </c>
      <c r="K81" s="83">
        <f t="shared" si="17"/>
        <v>3000000</v>
      </c>
      <c r="L81" s="83">
        <f t="shared" si="17"/>
        <v>3000000</v>
      </c>
      <c r="M81" s="83">
        <f t="shared" si="17"/>
        <v>3000000</v>
      </c>
      <c r="N81" s="83">
        <f t="shared" si="17"/>
        <v>5000000</v>
      </c>
      <c r="O81" s="83">
        <f t="shared" si="17"/>
        <v>6600000</v>
      </c>
      <c r="P81" s="83">
        <f t="shared" si="17"/>
        <v>5700000</v>
      </c>
      <c r="Q81" s="83">
        <f t="shared" si="17"/>
        <v>4100000</v>
      </c>
    </row>
    <row r="82" spans="1:17" ht="19.5" customHeight="1">
      <c r="A82" s="113">
        <v>25</v>
      </c>
      <c r="B82" s="583" t="s">
        <v>110</v>
      </c>
      <c r="C82" s="584"/>
      <c r="D82" s="91">
        <f>'Prognoza długu'!C46</f>
        <v>31400550</v>
      </c>
      <c r="E82" s="91">
        <f>'Prognoza długu'!D46</f>
        <v>28859761</v>
      </c>
      <c r="F82" s="91">
        <f>'Prognoza długu'!E46</f>
        <v>10245475</v>
      </c>
      <c r="G82" s="432">
        <f>'Prognoza długu'!F46</f>
        <v>14027077</v>
      </c>
      <c r="H82" s="448">
        <f>H52+H57</f>
        <v>10904678</v>
      </c>
      <c r="I82" s="442">
        <f aca="true" t="shared" si="18" ref="I82:Q82">I52</f>
        <v>0</v>
      </c>
      <c r="J82" s="91">
        <f t="shared" si="18"/>
        <v>0</v>
      </c>
      <c r="K82" s="91">
        <f t="shared" si="18"/>
        <v>0</v>
      </c>
      <c r="L82" s="91">
        <f t="shared" si="18"/>
        <v>0</v>
      </c>
      <c r="M82" s="91">
        <f t="shared" si="18"/>
        <v>0</v>
      </c>
      <c r="N82" s="91">
        <f t="shared" si="18"/>
        <v>0</v>
      </c>
      <c r="O82" s="91">
        <f t="shared" si="18"/>
        <v>0</v>
      </c>
      <c r="P82" s="91">
        <f t="shared" si="18"/>
        <v>0</v>
      </c>
      <c r="Q82" s="91">
        <f t="shared" si="18"/>
        <v>0</v>
      </c>
    </row>
    <row r="83" spans="1:17" ht="19.5" customHeight="1" thickBot="1">
      <c r="A83" s="118">
        <v>26</v>
      </c>
      <c r="B83" s="586" t="s">
        <v>111</v>
      </c>
      <c r="C83" s="587"/>
      <c r="D83" s="119">
        <f aca="true" t="shared" si="19" ref="D83:P83">D29</f>
        <v>1422000</v>
      </c>
      <c r="E83" s="119">
        <f t="shared" si="19"/>
        <v>3463314</v>
      </c>
      <c r="F83" s="234">
        <f t="shared" si="19"/>
        <v>6940085</v>
      </c>
      <c r="G83" s="435">
        <f t="shared" si="19"/>
        <v>4551585</v>
      </c>
      <c r="H83" s="452">
        <f>H29</f>
        <v>6935040</v>
      </c>
      <c r="I83" s="444">
        <f t="shared" si="19"/>
        <v>7266899</v>
      </c>
      <c r="J83" s="119">
        <f t="shared" si="19"/>
        <v>7106453</v>
      </c>
      <c r="K83" s="119">
        <f t="shared" si="19"/>
        <v>6150000</v>
      </c>
      <c r="L83" s="119">
        <f t="shared" si="19"/>
        <v>6250000</v>
      </c>
      <c r="M83" s="119">
        <f t="shared" si="19"/>
        <v>6801170</v>
      </c>
      <c r="N83" s="119">
        <f t="shared" si="19"/>
        <v>5062028</v>
      </c>
      <c r="O83" s="119">
        <f t="shared" si="19"/>
        <v>7350523</v>
      </c>
      <c r="P83" s="119">
        <f t="shared" si="19"/>
        <v>6300000</v>
      </c>
      <c r="Q83" s="119">
        <f>Q29</f>
        <v>4523949</v>
      </c>
    </row>
    <row r="84" spans="1:17" ht="15.75">
      <c r="A84" s="120"/>
      <c r="B84" s="121"/>
      <c r="C84" s="122"/>
      <c r="D84" s="124"/>
      <c r="E84" s="124"/>
      <c r="F84" s="123"/>
      <c r="G84" s="124"/>
      <c r="H84" s="124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1:17" ht="12.75">
      <c r="A85" s="80"/>
      <c r="B85" s="80"/>
      <c r="C85" s="77"/>
      <c r="D85" s="79"/>
      <c r="E85" s="79"/>
      <c r="F85" s="78"/>
      <c r="G85" s="79"/>
      <c r="H85" s="79"/>
      <c r="I85" s="80"/>
      <c r="J85" s="80"/>
      <c r="K85" s="80"/>
      <c r="L85" s="80"/>
      <c r="M85" s="80"/>
      <c r="N85" s="80"/>
      <c r="O85" s="80"/>
      <c r="P85" s="80"/>
      <c r="Q85" s="80"/>
    </row>
    <row r="86" spans="1:17" ht="12.75">
      <c r="A86" s="80"/>
      <c r="B86" s="80"/>
      <c r="C86" s="77"/>
      <c r="D86" s="79"/>
      <c r="E86" s="79"/>
      <c r="F86" s="78"/>
      <c r="G86" s="79"/>
      <c r="H86" s="79"/>
      <c r="I86" s="80"/>
      <c r="J86" s="80"/>
      <c r="K86" s="80"/>
      <c r="L86" s="80"/>
      <c r="M86" s="80"/>
      <c r="N86" s="80"/>
      <c r="O86" s="80"/>
      <c r="P86" s="80"/>
      <c r="Q86" s="80"/>
    </row>
    <row r="87" spans="1:17" ht="12.75">
      <c r="A87" s="80"/>
      <c r="B87" s="80"/>
      <c r="C87" s="77"/>
      <c r="D87" s="79"/>
      <c r="E87" s="79"/>
      <c r="F87" s="78"/>
      <c r="G87" s="79"/>
      <c r="H87" s="79"/>
      <c r="I87" s="80"/>
      <c r="J87" s="80"/>
      <c r="K87" s="80"/>
      <c r="L87" s="80"/>
      <c r="M87" s="80"/>
      <c r="N87" s="80"/>
      <c r="O87" s="80"/>
      <c r="P87" s="80"/>
      <c r="Q87" s="80"/>
    </row>
    <row r="88" spans="4:8" ht="12.75">
      <c r="D88" s="14"/>
      <c r="E88" s="14"/>
      <c r="F88" s="34"/>
      <c r="G88" s="14"/>
      <c r="H88" s="14"/>
    </row>
  </sheetData>
  <sheetProtection/>
  <mergeCells count="84">
    <mergeCell ref="L11:L12"/>
    <mergeCell ref="K11:K12"/>
    <mergeCell ref="A9:A12"/>
    <mergeCell ref="F11:F12"/>
    <mergeCell ref="G11:G12"/>
    <mergeCell ref="E11:E12"/>
    <mergeCell ref="D11:D12"/>
    <mergeCell ref="I11:I12"/>
    <mergeCell ref="H11:H12"/>
    <mergeCell ref="D10:F10"/>
    <mergeCell ref="B15:C15"/>
    <mergeCell ref="B17:C17"/>
    <mergeCell ref="B18:B22"/>
    <mergeCell ref="B9:C12"/>
    <mergeCell ref="B35:C35"/>
    <mergeCell ref="D9:Q9"/>
    <mergeCell ref="G10:Q10"/>
    <mergeCell ref="J11:J12"/>
    <mergeCell ref="Q11:Q12"/>
    <mergeCell ref="P11:P12"/>
    <mergeCell ref="B48:C51"/>
    <mergeCell ref="B70:C70"/>
    <mergeCell ref="B71:C71"/>
    <mergeCell ref="B23:C23"/>
    <mergeCell ref="B24:C24"/>
    <mergeCell ref="B63:C63"/>
    <mergeCell ref="B36:C36"/>
    <mergeCell ref="B28:C28"/>
    <mergeCell ref="O11:O12"/>
    <mergeCell ref="N11:N12"/>
    <mergeCell ref="M11:M12"/>
    <mergeCell ref="B69:C69"/>
    <mergeCell ref="B65:C65"/>
    <mergeCell ref="B66:C66"/>
    <mergeCell ref="B67:C67"/>
    <mergeCell ref="B26:C26"/>
    <mergeCell ref="B27:C27"/>
    <mergeCell ref="D48:Q48"/>
    <mergeCell ref="B82:C82"/>
    <mergeCell ref="B83:C83"/>
    <mergeCell ref="B68:C68"/>
    <mergeCell ref="B74:C74"/>
    <mergeCell ref="B75:C75"/>
    <mergeCell ref="B76:C76"/>
    <mergeCell ref="B77:C77"/>
    <mergeCell ref="B79:C79"/>
    <mergeCell ref="B80:C80"/>
    <mergeCell ref="B81:C81"/>
    <mergeCell ref="B78:C78"/>
    <mergeCell ref="Q50:Q51"/>
    <mergeCell ref="O50:O51"/>
    <mergeCell ref="P50:P51"/>
    <mergeCell ref="I50:I51"/>
    <mergeCell ref="K50:K51"/>
    <mergeCell ref="N50:N51"/>
    <mergeCell ref="L50:L51"/>
    <mergeCell ref="B64:C64"/>
    <mergeCell ref="H50:H51"/>
    <mergeCell ref="A61:A62"/>
    <mergeCell ref="B61:B62"/>
    <mergeCell ref="B52:C52"/>
    <mergeCell ref="B59:C59"/>
    <mergeCell ref="A48:A51"/>
    <mergeCell ref="B34:C34"/>
    <mergeCell ref="B57:C57"/>
    <mergeCell ref="B60:C60"/>
    <mergeCell ref="B53:B56"/>
    <mergeCell ref="B58:C58"/>
    <mergeCell ref="A6:N8"/>
    <mergeCell ref="D49:F49"/>
    <mergeCell ref="F50:F51"/>
    <mergeCell ref="B72:C72"/>
    <mergeCell ref="B73:C73"/>
    <mergeCell ref="B29:C29"/>
    <mergeCell ref="B30:B32"/>
    <mergeCell ref="B33:C33"/>
    <mergeCell ref="B14:C14"/>
    <mergeCell ref="B13:C13"/>
    <mergeCell ref="G49:Q49"/>
    <mergeCell ref="M50:M51"/>
    <mergeCell ref="D50:D51"/>
    <mergeCell ref="E50:E51"/>
    <mergeCell ref="G50:G51"/>
    <mergeCell ref="J50:J51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zoomScalePageLayoutView="0" workbookViewId="0" topLeftCell="E34">
      <selection activeCell="A1" sqref="A1:P57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4" width="11.7109375" style="0" customWidth="1"/>
    <col min="5" max="5" width="12.7109375" style="0" customWidth="1"/>
    <col min="6" max="6" width="11.7109375" style="0" customWidth="1"/>
    <col min="7" max="7" width="13.7109375" style="0" customWidth="1"/>
    <col min="8" max="8" width="12.28125" style="0" customWidth="1"/>
    <col min="9" max="9" width="11.8515625" style="0" customWidth="1"/>
    <col min="10" max="10" width="12.28125" style="0" customWidth="1"/>
    <col min="11" max="11" width="12.8515625" style="0" customWidth="1"/>
    <col min="12" max="12" width="11.7109375" style="0" customWidth="1"/>
    <col min="13" max="13" width="11.8515625" style="0" customWidth="1"/>
    <col min="14" max="14" width="12.421875" style="0" customWidth="1"/>
    <col min="15" max="16" width="12.28125" style="0" customWidth="1"/>
  </cols>
  <sheetData>
    <row r="1" spans="1:16" ht="17.2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8" t="s">
        <v>112</v>
      </c>
      <c r="M1" s="58"/>
      <c r="N1" s="128"/>
      <c r="O1" s="128"/>
      <c r="P1" s="128"/>
    </row>
    <row r="2" spans="1:16" ht="2.2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63"/>
      <c r="M2" s="64"/>
      <c r="N2" s="128"/>
      <c r="O2" s="128"/>
      <c r="P2" s="128"/>
    </row>
    <row r="3" spans="1:16" ht="17.25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68" t="s">
        <v>394</v>
      </c>
      <c r="M3" s="64"/>
      <c r="N3" s="128"/>
      <c r="O3" s="128"/>
      <c r="P3" s="128"/>
    </row>
    <row r="4" spans="1:16" ht="17.2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68" t="s">
        <v>49</v>
      </c>
      <c r="M4" s="64"/>
      <c r="N4" s="128"/>
      <c r="O4" s="128"/>
      <c r="P4" s="128"/>
    </row>
    <row r="5" spans="1:16" ht="17.2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8" t="s">
        <v>395</v>
      </c>
      <c r="M5" s="64"/>
      <c r="N5" s="128"/>
      <c r="O5" s="128"/>
      <c r="P5" s="128"/>
    </row>
    <row r="6" spans="1:16" ht="39.75" customHeight="1" thickBot="1">
      <c r="A6" s="617" t="s">
        <v>306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</row>
    <row r="7" spans="1:16" ht="17.25" customHeight="1" thickBot="1">
      <c r="A7" s="613" t="s">
        <v>113</v>
      </c>
      <c r="B7" s="614" t="s">
        <v>63</v>
      </c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</row>
    <row r="8" spans="1:16" ht="17.25" customHeight="1" thickBot="1">
      <c r="A8" s="613"/>
      <c r="B8" s="614"/>
      <c r="C8" s="611" t="s">
        <v>64</v>
      </c>
      <c r="D8" s="611"/>
      <c r="E8" s="612"/>
      <c r="F8" s="616" t="s">
        <v>114</v>
      </c>
      <c r="G8" s="616"/>
      <c r="H8" s="616"/>
      <c r="I8" s="616"/>
      <c r="J8" s="616"/>
      <c r="K8" s="616"/>
      <c r="L8" s="616"/>
      <c r="M8" s="616"/>
      <c r="N8" s="616"/>
      <c r="O8" s="616"/>
      <c r="P8" s="616"/>
    </row>
    <row r="9" spans="1:16" ht="17.25" customHeight="1" thickBot="1">
      <c r="A9" s="613"/>
      <c r="B9" s="614"/>
      <c r="C9" s="129">
        <v>2008</v>
      </c>
      <c r="D9" s="129">
        <v>2009</v>
      </c>
      <c r="E9" s="130">
        <v>2010</v>
      </c>
      <c r="F9" s="129">
        <v>2011</v>
      </c>
      <c r="G9" s="414">
        <v>2012</v>
      </c>
      <c r="H9" s="129">
        <v>2013</v>
      </c>
      <c r="I9" s="129">
        <v>2014</v>
      </c>
      <c r="J9" s="129">
        <v>2015</v>
      </c>
      <c r="K9" s="129">
        <v>2016</v>
      </c>
      <c r="L9" s="129">
        <v>2017</v>
      </c>
      <c r="M9" s="129">
        <v>2018</v>
      </c>
      <c r="N9" s="129">
        <v>2019</v>
      </c>
      <c r="O9" s="129">
        <v>2020</v>
      </c>
      <c r="P9" s="131">
        <v>2021</v>
      </c>
    </row>
    <row r="10" spans="1:16" ht="20.25" customHeight="1">
      <c r="A10" s="132">
        <v>1</v>
      </c>
      <c r="B10" s="133" t="s">
        <v>115</v>
      </c>
      <c r="C10" s="134">
        <v>24061046</v>
      </c>
      <c r="D10" s="134">
        <v>45737732</v>
      </c>
      <c r="E10" s="134">
        <f>D10+WPF!F52-WPF!F29</f>
        <v>47797647</v>
      </c>
      <c r="F10" s="407">
        <f>E10+WPF!G52-WPF!G29</f>
        <v>56846062</v>
      </c>
      <c r="G10" s="415">
        <f>F10+WPF!H52-WPF!H29</f>
        <v>56811022</v>
      </c>
      <c r="H10" s="134">
        <f>G10+WPF!I52-WPF!I29</f>
        <v>49544123</v>
      </c>
      <c r="I10" s="134">
        <f>H10+WPF!J52-WPF!J29</f>
        <v>42437670</v>
      </c>
      <c r="J10" s="134">
        <f>I10+WPF!K52-WPF!K29</f>
        <v>36287670</v>
      </c>
      <c r="K10" s="134">
        <f>J10+WPF!L52-WPF!L29</f>
        <v>30037670</v>
      </c>
      <c r="L10" s="134">
        <f>K10+WPF!M52-WPF!M29</f>
        <v>23236500</v>
      </c>
      <c r="M10" s="134">
        <f>L10+WPF!N52-WPF!N29</f>
        <v>18174472</v>
      </c>
      <c r="N10" s="134">
        <f>M10+WPF!O52-WPF!O29</f>
        <v>10823949</v>
      </c>
      <c r="O10" s="134">
        <f>N10+WPF!P52-WPF!P29</f>
        <v>4523949</v>
      </c>
      <c r="P10" s="134">
        <f>O10+WPF!Q52-WPF!Q29</f>
        <v>0</v>
      </c>
    </row>
    <row r="11" spans="1:16" ht="33.75" customHeight="1">
      <c r="A11" s="135" t="s">
        <v>67</v>
      </c>
      <c r="B11" s="52" t="s">
        <v>116</v>
      </c>
      <c r="C11" s="50">
        <v>0</v>
      </c>
      <c r="D11" s="50">
        <v>0</v>
      </c>
      <c r="E11" s="50">
        <v>0</v>
      </c>
      <c r="F11" s="408">
        <v>2100000</v>
      </c>
      <c r="G11" s="416">
        <v>2050000</v>
      </c>
      <c r="H11" s="50">
        <v>2000000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9" ht="42" customHeight="1">
      <c r="A12" s="135" t="s">
        <v>69</v>
      </c>
      <c r="B12" s="52" t="s">
        <v>231</v>
      </c>
      <c r="C12" s="50">
        <v>0</v>
      </c>
      <c r="D12" s="50">
        <v>0</v>
      </c>
      <c r="E12" s="50">
        <v>0</v>
      </c>
      <c r="F12" s="408">
        <v>0</v>
      </c>
      <c r="G12" s="416">
        <v>50000</v>
      </c>
      <c r="H12" s="50">
        <v>50000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S12" s="35"/>
    </row>
    <row r="13" spans="1:16" ht="55.5" customHeight="1">
      <c r="A13" s="135" t="s">
        <v>117</v>
      </c>
      <c r="B13" s="52" t="s">
        <v>118</v>
      </c>
      <c r="C13" s="50">
        <v>0</v>
      </c>
      <c r="D13" s="50">
        <v>0</v>
      </c>
      <c r="E13" s="50">
        <v>0</v>
      </c>
      <c r="F13" s="408">
        <v>0</v>
      </c>
      <c r="G13" s="416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</row>
    <row r="14" spans="1:16" ht="24" customHeight="1">
      <c r="A14" s="135" t="s">
        <v>119</v>
      </c>
      <c r="B14" s="52" t="s">
        <v>120</v>
      </c>
      <c r="C14" s="50">
        <f>WPF!D29</f>
        <v>1422000</v>
      </c>
      <c r="D14" s="50">
        <f>WPF!E29</f>
        <v>3463314</v>
      </c>
      <c r="E14" s="50">
        <f>WPF!F29</f>
        <v>6940085</v>
      </c>
      <c r="F14" s="408">
        <f>WPF!G29</f>
        <v>4551585</v>
      </c>
      <c r="G14" s="416">
        <f>WPF!H29</f>
        <v>6935040</v>
      </c>
      <c r="H14" s="50">
        <f>WPF!I29</f>
        <v>7266899</v>
      </c>
      <c r="I14" s="50">
        <f>WPF!J29</f>
        <v>7106453</v>
      </c>
      <c r="J14" s="50">
        <f>WPF!K29</f>
        <v>6150000</v>
      </c>
      <c r="K14" s="50">
        <f>WPF!L29</f>
        <v>6250000</v>
      </c>
      <c r="L14" s="50">
        <f>WPF!M29</f>
        <v>6801170</v>
      </c>
      <c r="M14" s="50">
        <f>WPF!N29</f>
        <v>5062028</v>
      </c>
      <c r="N14" s="50">
        <f>WPF!O29</f>
        <v>7350523</v>
      </c>
      <c r="O14" s="50">
        <f>WPF!P29</f>
        <v>6300000</v>
      </c>
      <c r="P14" s="50">
        <f>WPF!Q29</f>
        <v>4523949</v>
      </c>
    </row>
    <row r="15" spans="1:16" ht="24" customHeight="1">
      <c r="A15" s="136" t="s">
        <v>121</v>
      </c>
      <c r="B15" s="137" t="s">
        <v>122</v>
      </c>
      <c r="C15" s="138"/>
      <c r="D15" s="138"/>
      <c r="E15" s="139">
        <v>0.1911</v>
      </c>
      <c r="F15" s="411">
        <f>1/3*((WPF!D14+WPF!D16-'Prognoza długu'!C25)/WPF!D13+(WPF!E14+WPF!E16-'Prognoza długu'!D25)/WPF!E13+(WPF!F14+WPF!F16-'Prognoza długu'!E25)/WPF!F13)</f>
        <v>0.1291721492426357</v>
      </c>
      <c r="G15" s="417">
        <v>0.0951</v>
      </c>
      <c r="H15" s="139">
        <v>0.1634</v>
      </c>
      <c r="I15" s="139">
        <v>0.2436</v>
      </c>
      <c r="J15" s="139">
        <f>1/3*((WPF!H14+WPF!H16-'Prognoza długu'!G25)/WPF!H13+(WPF!I14+WPF!I16-'Prognoza długu'!H25)/WPF!I13+(WPF!J14+WPF!J16-'Prognoza długu'!I25)/WPF!J13)</f>
        <v>0.2885032199156537</v>
      </c>
      <c r="K15" s="139">
        <f>1/3*((WPF!I14+WPF!I16-'Prognoza długu'!H25)/WPF!I13+(WPF!J14+WPF!J16-'Prognoza długu'!I25)/WPF!J13+(WPF!K14+WPF!K16-'Prognoza długu'!J25)/WPF!K13)</f>
        <v>0.2782406662407839</v>
      </c>
      <c r="L15" s="139">
        <f>1/3*((WPF!J14+WPF!J16-'Prognoza długu'!I25)/WPF!J13+(WPF!K14+WPF!K16-'Prognoza długu'!J25)/WPF!K13+(WPF!L14+WPF!L16-'Prognoza długu'!K25)/WPF!L13)</f>
        <v>0.2388988932679441</v>
      </c>
      <c r="M15" s="139">
        <f>1/3*((WPF!K14+WPF!K16-'Prognoza długu'!J25)/WPF!K13+(WPF!L14+WPF!L16-'Prognoza długu'!K25)/WPF!L13+(WPF!M14+WPF!M16-'Prognoza długu'!L25)/WPF!M13)</f>
        <v>0.22703976634294476</v>
      </c>
      <c r="N15" s="139">
        <f>1/3*((WPF!L14+WPF!L16-'Prognoza długu'!K25)/WPF!L13+(WPF!M14+WPF!M16-'Prognoza długu'!L25)/WPF!M13+(WPF!N14+WPF!N16-'Prognoza długu'!M25)/WPF!N13)</f>
        <v>0.2048225586267341</v>
      </c>
      <c r="O15" s="139">
        <f>1/3*((WPF!M14+WPF!M16-'Prognoza długu'!L25)/WPF!M13+(WPF!N14+WPF!N16-'Prognoza długu'!M25)/WPF!N13+(WPF!O14+WPF!O16-'Prognoza długu'!N25)/WPF!O13)</f>
        <v>0.2171490773932484</v>
      </c>
      <c r="P15" s="139">
        <f>1/3*((WPF!N14+WPF!N16-'Prognoza długu'!M25)/WPF!N13+(WPF!O14+WPF!O16-'Prognoza długu'!N25)/WPF!O13+(WPF!P14+WPF!P16-'Prognoza długu'!O25)/WPF!P13)</f>
        <v>0.22294167223691674</v>
      </c>
    </row>
    <row r="16" spans="1:16" ht="30.75" customHeight="1">
      <c r="A16" s="136" t="s">
        <v>123</v>
      </c>
      <c r="B16" s="137" t="s">
        <v>124</v>
      </c>
      <c r="C16" s="138" t="s">
        <v>82</v>
      </c>
      <c r="D16" s="138" t="s">
        <v>82</v>
      </c>
      <c r="E16" s="139">
        <f>(WPF!F33+WPF!F29)/WPF!F13</f>
        <v>0.10653694792951553</v>
      </c>
      <c r="F16" s="411">
        <f>(WPF!G33+WPF!G29)/WPF!G13</f>
        <v>0.06023511077561799</v>
      </c>
      <c r="G16" s="417">
        <f>(WPF!H33+WPF!H29)/WPF!H13</f>
        <v>0.05223409899628813</v>
      </c>
      <c r="H16" s="139">
        <f>(WPF!I33+WPF!I29)/WPF!I13</f>
        <v>0.061357381257909904</v>
      </c>
      <c r="I16" s="139">
        <f>(WPF!J33+WPF!J29)/WPF!J13</f>
        <v>0.08728888105736482</v>
      </c>
      <c r="J16" s="139">
        <f>(WPF!K33+WPF!K29)/WPF!K13</f>
        <v>0.06660524659229146</v>
      </c>
      <c r="K16" s="139">
        <f>(WPF!L33+WPF!L29)/WPF!L13</f>
        <v>0.06762204378541244</v>
      </c>
      <c r="L16" s="139">
        <f>(WPF!M33+WPF!M29)/WPF!M13</f>
        <v>0.06750839351544803</v>
      </c>
      <c r="M16" s="139">
        <f>(WPF!N33+WPF!N29)/WPF!N13</f>
        <v>0.04909188090104212</v>
      </c>
      <c r="N16" s="139">
        <f>(WPF!O33+WPF!O29)/WPF!O13</f>
        <v>0.060479011713379424</v>
      </c>
      <c r="O16" s="139">
        <f>(WPF!P33+WPF!P29)/WPF!P13</f>
        <v>0.04811166930487907</v>
      </c>
      <c r="P16" s="139">
        <f>(WPF!Q33+WPF!Q29)/WPF!Q13</f>
        <v>0.03217987218700601</v>
      </c>
    </row>
    <row r="17" spans="1:16" ht="35.25" customHeight="1">
      <c r="A17" s="136" t="s">
        <v>125</v>
      </c>
      <c r="B17" s="140" t="s">
        <v>126</v>
      </c>
      <c r="C17" s="138"/>
      <c r="D17" s="138"/>
      <c r="E17" s="139">
        <f>E15-E16</f>
        <v>0.08456305207048447</v>
      </c>
      <c r="F17" s="411">
        <f aca="true" t="shared" si="0" ref="F17:O17">F15-F16</f>
        <v>0.06893703846701771</v>
      </c>
      <c r="G17" s="417">
        <f t="shared" si="0"/>
        <v>0.042865901003711876</v>
      </c>
      <c r="H17" s="139">
        <f t="shared" si="0"/>
        <v>0.10204261874209009</v>
      </c>
      <c r="I17" s="139">
        <f t="shared" si="0"/>
        <v>0.1563111189426352</v>
      </c>
      <c r="J17" s="139">
        <f t="shared" si="0"/>
        <v>0.22189797332336225</v>
      </c>
      <c r="K17" s="139">
        <f t="shared" si="0"/>
        <v>0.2106186224553715</v>
      </c>
      <c r="L17" s="139">
        <f t="shared" si="0"/>
        <v>0.1713904997524961</v>
      </c>
      <c r="M17" s="139">
        <f t="shared" si="0"/>
        <v>0.17794788544190265</v>
      </c>
      <c r="N17" s="139">
        <f t="shared" si="0"/>
        <v>0.14434354691335466</v>
      </c>
      <c r="O17" s="139">
        <f t="shared" si="0"/>
        <v>0.16903740808836934</v>
      </c>
      <c r="P17" s="139">
        <f>P15-P16</f>
        <v>0.19076180004991072</v>
      </c>
    </row>
    <row r="18" spans="1:16" ht="30" customHeight="1">
      <c r="A18" s="135" t="s">
        <v>127</v>
      </c>
      <c r="B18" s="52" t="s">
        <v>128</v>
      </c>
      <c r="C18" s="141">
        <f>WPF!D28/WPF!D13%</f>
        <v>2.3282594878968568</v>
      </c>
      <c r="D18" s="141">
        <f>WPF!E28/WPF!E13%</f>
        <v>5.510659630018438</v>
      </c>
      <c r="E18" s="141">
        <f>WPF!F28/WPF!F13%</f>
        <v>10.653694792951551</v>
      </c>
      <c r="F18" s="409">
        <f>WPF!G28/WPF!G13%</f>
        <v>6.0235110775618</v>
      </c>
      <c r="G18" s="418">
        <f>WPF!H28/WPF!H13%</f>
        <v>5.2234098996288125</v>
      </c>
      <c r="H18" s="141">
        <f>WPF!I28/WPF!I13%</f>
        <v>6.135738125790991</v>
      </c>
      <c r="I18" s="141"/>
      <c r="J18" s="141"/>
      <c r="K18" s="141"/>
      <c r="L18" s="141"/>
      <c r="M18" s="141"/>
      <c r="N18" s="141"/>
      <c r="O18" s="141"/>
      <c r="P18" s="141"/>
    </row>
    <row r="19" spans="1:16" ht="29.25" customHeight="1">
      <c r="A19" s="135" t="s">
        <v>129</v>
      </c>
      <c r="B19" s="52" t="s">
        <v>130</v>
      </c>
      <c r="C19" s="141">
        <f>C10/WPF!D13%</f>
        <v>29.73558673968137</v>
      </c>
      <c r="D19" s="141">
        <f>D10/WPF!E13%</f>
        <v>55.982746471274986</v>
      </c>
      <c r="E19" s="141">
        <f>E10/WPF!F13%</f>
        <v>56.16915056018265</v>
      </c>
      <c r="F19" s="409">
        <f>F10/WPF!G13%</f>
        <v>49.7435679254916</v>
      </c>
      <c r="G19" s="418">
        <f>G10/WPF!H13%</f>
        <v>32.14009580088122</v>
      </c>
      <c r="H19" s="141">
        <f>H10/WPF!I13%</f>
        <v>29.126601252886367</v>
      </c>
      <c r="I19" s="141"/>
      <c r="J19" s="141"/>
      <c r="K19" s="141"/>
      <c r="L19" s="141"/>
      <c r="M19" s="141"/>
      <c r="N19" s="141"/>
      <c r="O19" s="141"/>
      <c r="P19" s="141"/>
    </row>
    <row r="20" spans="1:16" ht="17.25" customHeight="1">
      <c r="A20" s="73" t="s">
        <v>131</v>
      </c>
      <c r="B20" s="142" t="s">
        <v>132</v>
      </c>
      <c r="C20" s="53">
        <f aca="true" t="shared" si="1" ref="C20:O20">C21+C22</f>
        <v>80916668</v>
      </c>
      <c r="D20" s="53">
        <f t="shared" si="1"/>
        <v>81699693</v>
      </c>
      <c r="E20" s="53">
        <f t="shared" si="1"/>
        <v>85095905</v>
      </c>
      <c r="F20" s="410">
        <f t="shared" si="1"/>
        <v>114278216</v>
      </c>
      <c r="G20" s="419">
        <f t="shared" si="1"/>
        <v>176760587</v>
      </c>
      <c r="H20" s="53">
        <f t="shared" si="1"/>
        <v>170099225</v>
      </c>
      <c r="I20" s="53">
        <f t="shared" si="1"/>
        <v>112956586</v>
      </c>
      <c r="J20" s="53">
        <f t="shared" si="1"/>
        <v>129434338</v>
      </c>
      <c r="K20" s="143">
        <f t="shared" si="1"/>
        <v>124848430</v>
      </c>
      <c r="L20" s="53">
        <f t="shared" si="1"/>
        <v>129078216</v>
      </c>
      <c r="M20" s="53">
        <f t="shared" si="1"/>
        <v>134530581</v>
      </c>
      <c r="N20" s="53">
        <f t="shared" si="1"/>
        <v>139658756</v>
      </c>
      <c r="O20" s="53">
        <f t="shared" si="1"/>
        <v>143547325</v>
      </c>
      <c r="P20" s="53">
        <f>P21+P22</f>
        <v>146658641</v>
      </c>
    </row>
    <row r="21" spans="1:16" ht="16.5" customHeight="1">
      <c r="A21" s="135" t="s">
        <v>67</v>
      </c>
      <c r="B21" s="52" t="s">
        <v>133</v>
      </c>
      <c r="C21" s="50">
        <f>WPF!D14</f>
        <v>80901768</v>
      </c>
      <c r="D21" s="50">
        <f>WPF!E14</f>
        <v>80665439</v>
      </c>
      <c r="E21" s="50">
        <f>WPF!F14</f>
        <v>84339995</v>
      </c>
      <c r="F21" s="408">
        <f>WPF!G14</f>
        <v>98522397</v>
      </c>
      <c r="G21" s="416">
        <f>WPF!H14</f>
        <v>104290855</v>
      </c>
      <c r="H21" s="50">
        <f>WPF!I14</f>
        <v>112836724</v>
      </c>
      <c r="I21" s="50">
        <f>WPF!J14</f>
        <v>112956586</v>
      </c>
      <c r="J21" s="50">
        <f>WPF!K14</f>
        <v>120434338</v>
      </c>
      <c r="K21" s="144">
        <f>WPF!L14</f>
        <v>124848430</v>
      </c>
      <c r="L21" s="50">
        <f>WPF!M14</f>
        <v>129078216</v>
      </c>
      <c r="M21" s="50">
        <f>WPF!N14</f>
        <v>134530581</v>
      </c>
      <c r="N21" s="50">
        <f>WPF!O14</f>
        <v>139658756</v>
      </c>
      <c r="O21" s="50">
        <f>WPF!P14</f>
        <v>143547325</v>
      </c>
      <c r="P21" s="50">
        <f>WPF!Q14</f>
        <v>146658641</v>
      </c>
    </row>
    <row r="22" spans="1:16" ht="16.5" customHeight="1">
      <c r="A22" s="135" t="s">
        <v>69</v>
      </c>
      <c r="B22" s="52" t="s">
        <v>70</v>
      </c>
      <c r="C22" s="50">
        <f>WPF!D15</f>
        <v>14900</v>
      </c>
      <c r="D22" s="50">
        <f>WPF!E15</f>
        <v>1034254</v>
      </c>
      <c r="E22" s="50">
        <f>WPF!F15</f>
        <v>755910</v>
      </c>
      <c r="F22" s="408">
        <f>WPF!G15</f>
        <v>15755819</v>
      </c>
      <c r="G22" s="416">
        <f>WPF!H15</f>
        <v>72469732</v>
      </c>
      <c r="H22" s="50">
        <f>WPF!I15</f>
        <v>57262501</v>
      </c>
      <c r="I22" s="50">
        <f>WPF!J15</f>
        <v>0</v>
      </c>
      <c r="J22" s="50">
        <f>WPF!K15</f>
        <v>9000000</v>
      </c>
      <c r="K22" s="50">
        <f>WPF!L15</f>
        <v>0</v>
      </c>
      <c r="L22" s="50">
        <f>WPF!M15</f>
        <v>0</v>
      </c>
      <c r="M22" s="50">
        <f>WPF!N15</f>
        <v>0</v>
      </c>
      <c r="N22" s="50">
        <f>WPF!O15</f>
        <v>0</v>
      </c>
      <c r="O22" s="50">
        <f>WPF!P15</f>
        <v>0</v>
      </c>
      <c r="P22" s="50">
        <f>WPF!Q15</f>
        <v>0</v>
      </c>
    </row>
    <row r="23" spans="1:16" ht="16.5" customHeight="1">
      <c r="A23" s="135" t="s">
        <v>71</v>
      </c>
      <c r="B23" s="52" t="s">
        <v>73</v>
      </c>
      <c r="C23" s="50">
        <f>WPF!D16</f>
        <v>0</v>
      </c>
      <c r="D23" s="50">
        <f>WPF!E16</f>
        <v>197354</v>
      </c>
      <c r="E23" s="50">
        <f>WPF!F16</f>
        <v>255910</v>
      </c>
      <c r="F23" s="408">
        <f>WPF!G16</f>
        <v>13500000</v>
      </c>
      <c r="G23" s="416">
        <f>WPF!H16</f>
        <v>52000000</v>
      </c>
      <c r="H23" s="50">
        <f>WPF!I16</f>
        <v>26150000</v>
      </c>
      <c r="I23" s="50">
        <f>WPF!J16</f>
        <v>0</v>
      </c>
      <c r="J23" s="50">
        <f>WPF!K16</f>
        <v>0</v>
      </c>
      <c r="K23" s="50">
        <f>WPF!L16</f>
        <v>0</v>
      </c>
      <c r="L23" s="50">
        <f>WPF!M16</f>
        <v>0</v>
      </c>
      <c r="M23" s="50">
        <f>WPF!N16</f>
        <v>0</v>
      </c>
      <c r="N23" s="50">
        <f>WPF!O16</f>
        <v>0</v>
      </c>
      <c r="O23" s="50">
        <f>WPF!P16</f>
        <v>0</v>
      </c>
      <c r="P23" s="50">
        <f>WPF!Q16</f>
        <v>0</v>
      </c>
    </row>
    <row r="24" spans="1:16" ht="16.5" customHeight="1">
      <c r="A24" s="73" t="s">
        <v>134</v>
      </c>
      <c r="B24" s="142" t="s">
        <v>135</v>
      </c>
      <c r="C24" s="53">
        <f aca="true" t="shared" si="2" ref="C24:H24">C25+C26</f>
        <v>107175456.57</v>
      </c>
      <c r="D24" s="53">
        <f t="shared" si="2"/>
        <v>105850665</v>
      </c>
      <c r="E24" s="53">
        <f t="shared" si="2"/>
        <v>87934218</v>
      </c>
      <c r="F24" s="410">
        <f>F25+F26</f>
        <v>123753708</v>
      </c>
      <c r="G24" s="419">
        <f t="shared" si="2"/>
        <v>180730225</v>
      </c>
      <c r="H24" s="53">
        <f t="shared" si="2"/>
        <v>162832326</v>
      </c>
      <c r="I24" s="53">
        <f aca="true" t="shared" si="3" ref="I24:P24">I25+I26</f>
        <v>105850133</v>
      </c>
      <c r="J24" s="53">
        <f t="shared" si="3"/>
        <v>123284338</v>
      </c>
      <c r="K24" s="53">
        <f t="shared" si="3"/>
        <v>118598430</v>
      </c>
      <c r="L24" s="53">
        <f t="shared" si="3"/>
        <v>122277046</v>
      </c>
      <c r="M24" s="53">
        <f t="shared" si="3"/>
        <v>129468553.26</v>
      </c>
      <c r="N24" s="53">
        <f t="shared" si="3"/>
        <v>132308232.54</v>
      </c>
      <c r="O24" s="53">
        <f t="shared" si="3"/>
        <v>137247325.43</v>
      </c>
      <c r="P24" s="53">
        <f t="shared" si="3"/>
        <v>142134692.3225</v>
      </c>
    </row>
    <row r="25" spans="1:16" ht="17.25" customHeight="1">
      <c r="A25" s="135" t="s">
        <v>67</v>
      </c>
      <c r="B25" s="52" t="s">
        <v>136</v>
      </c>
      <c r="C25" s="50">
        <f>WPF!D17+WPF!D33</f>
        <v>63862781</v>
      </c>
      <c r="D25" s="50">
        <f>WPF!E17+WPF!E33</f>
        <v>72590083</v>
      </c>
      <c r="E25" s="50">
        <f>WPF!F17+WPF!F33</f>
        <v>78155472</v>
      </c>
      <c r="F25" s="408">
        <f>WPF!G17+WPF!G33</f>
        <v>90332223</v>
      </c>
      <c r="G25" s="416">
        <f>WPF!H17+WPF!H33</f>
        <v>102196553</v>
      </c>
      <c r="H25" s="50">
        <f>WPF!I17+WPF!I33</f>
        <v>85190174</v>
      </c>
      <c r="I25" s="50">
        <f>WPF!J17+WPF!J33</f>
        <v>85484133</v>
      </c>
      <c r="J25" s="50">
        <f>WPF!K17+WPF!K33</f>
        <v>84808338</v>
      </c>
      <c r="K25" s="50">
        <f>WPF!L17+WPF!L33</f>
        <v>100098430</v>
      </c>
      <c r="L25" s="50">
        <f>WPF!M17+WPF!M33</f>
        <v>102277046</v>
      </c>
      <c r="M25" s="50">
        <f>WPF!N17+WPF!N33</f>
        <v>106468553.26</v>
      </c>
      <c r="N25" s="50">
        <f>WPF!O17+WPF!O33</f>
        <v>106808232.54</v>
      </c>
      <c r="O25" s="50">
        <f>WPF!P17+WPF!P33</f>
        <v>111247325.43</v>
      </c>
      <c r="P25" s="50">
        <f>WPF!Q17+WPF!Q33</f>
        <v>114134692.3225</v>
      </c>
    </row>
    <row r="26" spans="1:16" ht="17.25" customHeight="1">
      <c r="A26" s="135" t="s">
        <v>69</v>
      </c>
      <c r="B26" s="52" t="s">
        <v>137</v>
      </c>
      <c r="C26" s="50">
        <f>WPF!D36</f>
        <v>43312675.57</v>
      </c>
      <c r="D26" s="50">
        <f>WPF!E36</f>
        <v>33260582</v>
      </c>
      <c r="E26" s="50">
        <f>WPF!F36</f>
        <v>9778746</v>
      </c>
      <c r="F26" s="408">
        <f>WPF!G36</f>
        <v>33421485</v>
      </c>
      <c r="G26" s="416">
        <f>WPF!H36</f>
        <v>78533672</v>
      </c>
      <c r="H26" s="50">
        <f>WPF!I36</f>
        <v>77642152</v>
      </c>
      <c r="I26" s="50">
        <f>WPF!J36</f>
        <v>20366000</v>
      </c>
      <c r="J26" s="50">
        <f>WPF!K36</f>
        <v>38476000</v>
      </c>
      <c r="K26" s="50">
        <f>WPF!L36</f>
        <v>18500000</v>
      </c>
      <c r="L26" s="50">
        <f>WPF!M36</f>
        <v>20000000</v>
      </c>
      <c r="M26" s="50">
        <f>WPF!N36</f>
        <v>23000000</v>
      </c>
      <c r="N26" s="50">
        <f>WPF!O36</f>
        <v>25500000</v>
      </c>
      <c r="O26" s="50">
        <f>WPF!P36</f>
        <v>26000000</v>
      </c>
      <c r="P26" s="50">
        <f>WPF!Q36</f>
        <v>28000000</v>
      </c>
    </row>
    <row r="27" spans="1:16" ht="31.5" customHeight="1">
      <c r="A27" s="73" t="s">
        <v>138</v>
      </c>
      <c r="B27" s="142" t="s">
        <v>139</v>
      </c>
      <c r="C27" s="53">
        <f aca="true" t="shared" si="4" ref="C27:H27">C20-C24</f>
        <v>-26258788.569999993</v>
      </c>
      <c r="D27" s="53">
        <f t="shared" si="4"/>
        <v>-24150972</v>
      </c>
      <c r="E27" s="53">
        <f t="shared" si="4"/>
        <v>-2838313</v>
      </c>
      <c r="F27" s="410">
        <f t="shared" si="4"/>
        <v>-9475492</v>
      </c>
      <c r="G27" s="419">
        <f t="shared" si="4"/>
        <v>-3969638</v>
      </c>
      <c r="H27" s="53">
        <f t="shared" si="4"/>
        <v>7266899</v>
      </c>
      <c r="I27" s="53">
        <f aca="true" t="shared" si="5" ref="I27:P27">I20-I24</f>
        <v>7106453</v>
      </c>
      <c r="J27" s="53">
        <f t="shared" si="5"/>
        <v>6150000</v>
      </c>
      <c r="K27" s="53">
        <f t="shared" si="5"/>
        <v>6250000</v>
      </c>
      <c r="L27" s="53">
        <f t="shared" si="5"/>
        <v>6801170</v>
      </c>
      <c r="M27" s="53">
        <f t="shared" si="5"/>
        <v>5062027.739999995</v>
      </c>
      <c r="N27" s="53">
        <f t="shared" si="5"/>
        <v>7350523.459999993</v>
      </c>
      <c r="O27" s="53">
        <f t="shared" si="5"/>
        <v>6299999.569999993</v>
      </c>
      <c r="P27" s="53">
        <f t="shared" si="5"/>
        <v>4523948.67750001</v>
      </c>
    </row>
    <row r="28" spans="1:16" ht="15.75" customHeight="1">
      <c r="A28" s="73" t="s">
        <v>140</v>
      </c>
      <c r="B28" s="142" t="s">
        <v>211</v>
      </c>
      <c r="C28" s="53">
        <f>SUM(C29:C33)</f>
        <v>26258789</v>
      </c>
      <c r="D28" s="53">
        <f>SUM(D29:D33)</f>
        <v>24150972</v>
      </c>
      <c r="E28" s="53">
        <f>SUM(E29:E33)</f>
        <v>2838313</v>
      </c>
      <c r="F28" s="410">
        <f>SUM(F29:F33)</f>
        <v>9475492</v>
      </c>
      <c r="G28" s="419">
        <f>SUM(G29:G33)</f>
        <v>3969638</v>
      </c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5.75" customHeight="1">
      <c r="A29" s="74" t="s">
        <v>67</v>
      </c>
      <c r="B29" s="55" t="s">
        <v>90</v>
      </c>
      <c r="C29" s="50">
        <v>7546170</v>
      </c>
      <c r="D29" s="50">
        <v>6330000</v>
      </c>
      <c r="E29" s="50"/>
      <c r="F29" s="408">
        <v>2100000</v>
      </c>
      <c r="G29" s="419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5.75" customHeight="1">
      <c r="A30" s="74" t="s">
        <v>69</v>
      </c>
      <c r="B30" s="55" t="s">
        <v>91</v>
      </c>
      <c r="C30" s="50">
        <v>4000000</v>
      </c>
      <c r="D30" s="50">
        <v>4810000</v>
      </c>
      <c r="E30" s="50"/>
      <c r="F30" s="408"/>
      <c r="G30" s="419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5.75" customHeight="1">
      <c r="A31" s="74" t="s">
        <v>77</v>
      </c>
      <c r="B31" s="55" t="s">
        <v>209</v>
      </c>
      <c r="C31" s="50">
        <v>2699265</v>
      </c>
      <c r="D31" s="50"/>
      <c r="E31" s="50"/>
      <c r="F31" s="408"/>
      <c r="G31" s="419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57" customHeight="1">
      <c r="A32" s="74" t="s">
        <v>80</v>
      </c>
      <c r="B32" s="71" t="s">
        <v>99</v>
      </c>
      <c r="C32" s="50">
        <v>12013354</v>
      </c>
      <c r="D32" s="50"/>
      <c r="E32" s="50"/>
      <c r="F32" s="408">
        <v>375492</v>
      </c>
      <c r="G32" s="419">
        <v>3969638</v>
      </c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5.75" customHeight="1">
      <c r="A33" s="74" t="s">
        <v>141</v>
      </c>
      <c r="B33" s="55" t="s">
        <v>98</v>
      </c>
      <c r="C33" s="50"/>
      <c r="D33" s="50">
        <v>13010972</v>
      </c>
      <c r="E33" s="50">
        <v>2838313</v>
      </c>
      <c r="F33" s="408">
        <v>7000000</v>
      </c>
      <c r="G33" s="419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5.75" customHeight="1">
      <c r="A34" s="220"/>
      <c r="B34" s="221"/>
      <c r="C34" s="222"/>
      <c r="D34" s="222"/>
      <c r="E34" s="222"/>
      <c r="F34" s="222"/>
      <c r="G34" s="223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1:16" ht="30" customHeight="1">
      <c r="A35" s="224"/>
      <c r="B35" s="225"/>
      <c r="C35" s="226"/>
      <c r="D35" s="226"/>
      <c r="E35" s="226"/>
      <c r="F35" s="226"/>
      <c r="G35" s="227"/>
      <c r="H35" s="227"/>
      <c r="I35" s="227"/>
      <c r="J35" s="227"/>
      <c r="K35" s="227"/>
      <c r="L35" s="227"/>
      <c r="M35" s="227"/>
      <c r="N35" s="227"/>
      <c r="O35" s="227"/>
      <c r="P35" s="227"/>
    </row>
    <row r="36" spans="1:16" ht="30.75" customHeight="1">
      <c r="A36" s="224"/>
      <c r="B36" s="225"/>
      <c r="C36" s="226"/>
      <c r="D36" s="226"/>
      <c r="E36" s="226"/>
      <c r="F36" s="226"/>
      <c r="G36" s="227"/>
      <c r="H36" s="227"/>
      <c r="I36" s="227"/>
      <c r="J36" s="227"/>
      <c r="K36" s="227"/>
      <c r="L36" s="227"/>
      <c r="M36" s="227"/>
      <c r="N36" s="227"/>
      <c r="O36" s="227"/>
      <c r="P36" s="227"/>
    </row>
    <row r="37" spans="1:16" ht="15.75" customHeight="1">
      <c r="A37" s="224"/>
      <c r="B37" s="225"/>
      <c r="C37" s="226"/>
      <c r="D37" s="226"/>
      <c r="E37" s="226"/>
      <c r="F37" s="226"/>
      <c r="G37" s="227"/>
      <c r="H37" s="227"/>
      <c r="I37" s="227"/>
      <c r="J37" s="227"/>
      <c r="K37" s="227"/>
      <c r="L37" s="227"/>
      <c r="M37" s="227"/>
      <c r="N37" s="227"/>
      <c r="O37" s="227"/>
      <c r="P37" s="227"/>
    </row>
    <row r="38" spans="1:16" ht="15.75" customHeight="1" thickBot="1">
      <c r="A38" s="224"/>
      <c r="B38" s="225"/>
      <c r="C38" s="226"/>
      <c r="D38" s="226"/>
      <c r="E38" s="226"/>
      <c r="F38" s="226"/>
      <c r="G38" s="227"/>
      <c r="H38" s="227"/>
      <c r="I38" s="227"/>
      <c r="J38" s="227"/>
      <c r="K38" s="227"/>
      <c r="L38" s="227"/>
      <c r="M38" s="227"/>
      <c r="N38" s="227"/>
      <c r="O38" s="227"/>
      <c r="P38" s="227"/>
    </row>
    <row r="39" spans="1:16" ht="15.75" customHeight="1" thickBot="1">
      <c r="A39" s="613" t="s">
        <v>113</v>
      </c>
      <c r="B39" s="614" t="s">
        <v>63</v>
      </c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</row>
    <row r="40" spans="1:16" ht="15.75" customHeight="1" thickBot="1">
      <c r="A40" s="613"/>
      <c r="B40" s="614"/>
      <c r="C40" s="611" t="s">
        <v>64</v>
      </c>
      <c r="D40" s="611"/>
      <c r="E40" s="612"/>
      <c r="F40" s="616" t="s">
        <v>114</v>
      </c>
      <c r="G40" s="616"/>
      <c r="H40" s="616"/>
      <c r="I40" s="616"/>
      <c r="J40" s="616"/>
      <c r="K40" s="616"/>
      <c r="L40" s="616"/>
      <c r="M40" s="616"/>
      <c r="N40" s="616"/>
      <c r="O40" s="616"/>
      <c r="P40" s="616"/>
    </row>
    <row r="41" spans="1:16" ht="15.75" customHeight="1" thickBot="1">
      <c r="A41" s="613"/>
      <c r="B41" s="614"/>
      <c r="C41" s="129">
        <v>2008</v>
      </c>
      <c r="D41" s="129">
        <v>2009</v>
      </c>
      <c r="E41" s="130">
        <v>2010</v>
      </c>
      <c r="F41" s="412">
        <v>2011</v>
      </c>
      <c r="G41" s="414">
        <v>2012</v>
      </c>
      <c r="H41" s="129">
        <v>2013</v>
      </c>
      <c r="I41" s="129">
        <v>2014</v>
      </c>
      <c r="J41" s="129">
        <v>2015</v>
      </c>
      <c r="K41" s="129">
        <v>2016</v>
      </c>
      <c r="L41" s="129">
        <v>2017</v>
      </c>
      <c r="M41" s="129">
        <v>2018</v>
      </c>
      <c r="N41" s="129">
        <v>2019</v>
      </c>
      <c r="O41" s="129">
        <v>2020</v>
      </c>
      <c r="P41" s="131">
        <v>2021</v>
      </c>
    </row>
    <row r="42" spans="1:16" ht="14.25" customHeight="1">
      <c r="A42" s="73" t="s">
        <v>142</v>
      </c>
      <c r="B42" s="142" t="s">
        <v>212</v>
      </c>
      <c r="C42" s="53"/>
      <c r="D42" s="53"/>
      <c r="E42" s="53"/>
      <c r="F42" s="410"/>
      <c r="G42" s="419"/>
      <c r="H42" s="53">
        <f aca="true" t="shared" si="6" ref="H42:O42">SUM(H43:H45)</f>
        <v>7266899</v>
      </c>
      <c r="I42" s="53">
        <f t="shared" si="6"/>
        <v>7106453</v>
      </c>
      <c r="J42" s="53">
        <f t="shared" si="6"/>
        <v>6150000</v>
      </c>
      <c r="K42" s="53">
        <f t="shared" si="6"/>
        <v>6250000</v>
      </c>
      <c r="L42" s="53">
        <f t="shared" si="6"/>
        <v>6801170</v>
      </c>
      <c r="M42" s="53">
        <f t="shared" si="6"/>
        <v>5062028</v>
      </c>
      <c r="N42" s="53">
        <f t="shared" si="6"/>
        <v>7350523</v>
      </c>
      <c r="O42" s="53">
        <f t="shared" si="6"/>
        <v>6300000</v>
      </c>
      <c r="P42" s="53">
        <f>SUM(P43:P45)</f>
        <v>4523949</v>
      </c>
    </row>
    <row r="43" spans="1:16" ht="14.25" customHeight="1">
      <c r="A43" s="75" t="s">
        <v>67</v>
      </c>
      <c r="B43" s="55" t="s">
        <v>208</v>
      </c>
      <c r="C43" s="51"/>
      <c r="D43" s="51"/>
      <c r="E43" s="76"/>
      <c r="F43" s="408"/>
      <c r="G43" s="416"/>
      <c r="H43" s="51">
        <f aca="true" t="shared" si="7" ref="H43:O43">H53</f>
        <v>3666899</v>
      </c>
      <c r="I43" s="51">
        <f t="shared" si="7"/>
        <v>3506453</v>
      </c>
      <c r="J43" s="51">
        <f t="shared" si="7"/>
        <v>2550000</v>
      </c>
      <c r="K43" s="51">
        <f>K53</f>
        <v>2550000</v>
      </c>
      <c r="L43" s="51">
        <f t="shared" si="7"/>
        <v>2401170</v>
      </c>
      <c r="M43" s="51">
        <f t="shared" si="7"/>
        <v>62028</v>
      </c>
      <c r="N43" s="51">
        <f t="shared" si="7"/>
        <v>750523</v>
      </c>
      <c r="O43" s="51">
        <f t="shared" si="7"/>
        <v>600000</v>
      </c>
      <c r="P43" s="51">
        <f>P53</f>
        <v>423949</v>
      </c>
    </row>
    <row r="44" spans="1:16" ht="14.25" customHeight="1">
      <c r="A44" s="75" t="s">
        <v>69</v>
      </c>
      <c r="B44" s="55" t="s">
        <v>213</v>
      </c>
      <c r="C44" s="51"/>
      <c r="D44" s="51"/>
      <c r="E44" s="76"/>
      <c r="F44" s="408"/>
      <c r="G44" s="416"/>
      <c r="H44" s="51">
        <f aca="true" t="shared" si="8" ref="H44:O44">H54</f>
        <v>600000</v>
      </c>
      <c r="I44" s="51">
        <f t="shared" si="8"/>
        <v>600000</v>
      </c>
      <c r="J44" s="51">
        <f t="shared" si="8"/>
        <v>600000</v>
      </c>
      <c r="K44" s="51">
        <f t="shared" si="8"/>
        <v>700000</v>
      </c>
      <c r="L44" s="51">
        <f t="shared" si="8"/>
        <v>1400000</v>
      </c>
      <c r="M44" s="51">
        <f t="shared" si="8"/>
        <v>0</v>
      </c>
      <c r="N44" s="51">
        <f t="shared" si="8"/>
        <v>0</v>
      </c>
      <c r="O44" s="51">
        <f t="shared" si="8"/>
        <v>0</v>
      </c>
      <c r="P44" s="51">
        <f>P54</f>
        <v>0</v>
      </c>
    </row>
    <row r="45" spans="1:16" ht="15" customHeight="1">
      <c r="A45" s="75" t="s">
        <v>77</v>
      </c>
      <c r="B45" s="55" t="s">
        <v>92</v>
      </c>
      <c r="C45" s="51"/>
      <c r="D45" s="51"/>
      <c r="E45" s="76"/>
      <c r="F45" s="408"/>
      <c r="G45" s="416"/>
      <c r="H45" s="51">
        <f aca="true" t="shared" si="9" ref="H45:O45">H55</f>
        <v>3000000</v>
      </c>
      <c r="I45" s="51">
        <f t="shared" si="9"/>
        <v>3000000</v>
      </c>
      <c r="J45" s="51">
        <f t="shared" si="9"/>
        <v>3000000</v>
      </c>
      <c r="K45" s="51">
        <f t="shared" si="9"/>
        <v>3000000</v>
      </c>
      <c r="L45" s="51">
        <f t="shared" si="9"/>
        <v>3000000</v>
      </c>
      <c r="M45" s="51">
        <f t="shared" si="9"/>
        <v>5000000</v>
      </c>
      <c r="N45" s="51">
        <f t="shared" si="9"/>
        <v>6600000</v>
      </c>
      <c r="O45" s="51">
        <f t="shared" si="9"/>
        <v>5700000</v>
      </c>
      <c r="P45" s="51">
        <f>P55</f>
        <v>4100000</v>
      </c>
    </row>
    <row r="46" spans="1:16" ht="15.75" customHeight="1">
      <c r="A46" s="73" t="s">
        <v>143</v>
      </c>
      <c r="B46" s="142" t="s">
        <v>110</v>
      </c>
      <c r="C46" s="53">
        <f>WPF!D24+WPF!D52</f>
        <v>31400550</v>
      </c>
      <c r="D46" s="53">
        <f>WPF!E24+WPF!E52</f>
        <v>28859761</v>
      </c>
      <c r="E46" s="53">
        <f>WPF!F24+WPF!F52</f>
        <v>10245475</v>
      </c>
      <c r="F46" s="410">
        <f>WPF!G24+WPF!G52</f>
        <v>14027077</v>
      </c>
      <c r="G46" s="419">
        <f>G49+G50</f>
        <v>10904678</v>
      </c>
      <c r="H46" s="53">
        <f>WPF!I24+WPF!I52</f>
        <v>0</v>
      </c>
      <c r="I46" s="53">
        <f>WPF!J24+WPF!J52</f>
        <v>0</v>
      </c>
      <c r="J46" s="53">
        <f>WPF!K24+WPF!K52</f>
        <v>0</v>
      </c>
      <c r="K46" s="53">
        <f>WPF!L24+WPF!L52</f>
        <v>0</v>
      </c>
      <c r="L46" s="53">
        <f>WPF!M24+WPF!M52</f>
        <v>0</v>
      </c>
      <c r="M46" s="53">
        <f>WPF!N24+WPF!N52</f>
        <v>0</v>
      </c>
      <c r="N46" s="53">
        <f>WPF!O24+WPF!O52</f>
        <v>0</v>
      </c>
      <c r="O46" s="53">
        <f>WPF!P24+WPF!P52</f>
        <v>0</v>
      </c>
      <c r="P46" s="53">
        <f>WPF!Q24+WPF!Q52</f>
        <v>0</v>
      </c>
    </row>
    <row r="47" spans="1:16" ht="11.25" customHeight="1">
      <c r="A47" s="135" t="s">
        <v>67</v>
      </c>
      <c r="B47" s="55" t="s">
        <v>90</v>
      </c>
      <c r="C47" s="50">
        <v>7546170</v>
      </c>
      <c r="D47" s="50">
        <v>6330000</v>
      </c>
      <c r="E47" s="50"/>
      <c r="F47" s="408">
        <v>2100000</v>
      </c>
      <c r="G47" s="416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11.25" customHeight="1">
      <c r="A48" s="135" t="s">
        <v>69</v>
      </c>
      <c r="B48" s="55" t="s">
        <v>91</v>
      </c>
      <c r="C48" s="50">
        <v>4000000</v>
      </c>
      <c r="D48" s="50">
        <v>4810000</v>
      </c>
      <c r="E48" s="50"/>
      <c r="F48" s="408"/>
      <c r="G48" s="416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11.25" customHeight="1">
      <c r="A49" s="135" t="s">
        <v>77</v>
      </c>
      <c r="B49" s="55" t="s">
        <v>98</v>
      </c>
      <c r="C49" s="50"/>
      <c r="D49" s="50">
        <v>14000000</v>
      </c>
      <c r="E49" s="50">
        <v>9000000</v>
      </c>
      <c r="F49" s="408">
        <v>11500000</v>
      </c>
      <c r="G49" s="416">
        <v>6900000</v>
      </c>
      <c r="H49" s="50"/>
      <c r="I49" s="50"/>
      <c r="J49" s="50"/>
      <c r="K49" s="50"/>
      <c r="L49" s="50"/>
      <c r="M49" s="50"/>
      <c r="N49" s="50"/>
      <c r="O49" s="50"/>
      <c r="P49" s="50"/>
    </row>
    <row r="50" spans="1:16" ht="51.75" customHeight="1">
      <c r="A50" s="135" t="s">
        <v>80</v>
      </c>
      <c r="B50" s="71" t="s">
        <v>99</v>
      </c>
      <c r="C50" s="50">
        <v>15733115</v>
      </c>
      <c r="D50" s="50">
        <v>3719761</v>
      </c>
      <c r="E50" s="50">
        <v>1245475</v>
      </c>
      <c r="F50" s="408">
        <v>427077</v>
      </c>
      <c r="G50" s="416">
        <v>4004678</v>
      </c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14.25" customHeight="1">
      <c r="A51" s="135" t="s">
        <v>141</v>
      </c>
      <c r="B51" s="72" t="s">
        <v>100</v>
      </c>
      <c r="C51" s="50">
        <v>4121265</v>
      </c>
      <c r="D51" s="50"/>
      <c r="E51" s="50"/>
      <c r="F51" s="408"/>
      <c r="G51" s="416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21" customHeight="1">
      <c r="A52" s="73" t="s">
        <v>210</v>
      </c>
      <c r="B52" s="142" t="s">
        <v>111</v>
      </c>
      <c r="C52" s="53">
        <f>WPF!D29+WPF!D34</f>
        <v>1422000</v>
      </c>
      <c r="D52" s="53">
        <f>WPF!E29+WPF!E34</f>
        <v>3463314</v>
      </c>
      <c r="E52" s="53">
        <f>WPF!F29+WPF!F34</f>
        <v>6980085</v>
      </c>
      <c r="F52" s="410">
        <f>WPF!G29+WPF!G34</f>
        <v>4551585</v>
      </c>
      <c r="G52" s="419">
        <f>WPF!H29+WPF!H34</f>
        <v>6935040</v>
      </c>
      <c r="H52" s="53">
        <f>WPF!I29+WPF!I34</f>
        <v>7266899</v>
      </c>
      <c r="I52" s="53">
        <f>WPF!J29+WPF!J34</f>
        <v>7106453</v>
      </c>
      <c r="J52" s="53">
        <f>WPF!K29+WPF!K34</f>
        <v>6150000</v>
      </c>
      <c r="K52" s="53">
        <f>WPF!L29+WPF!L34</f>
        <v>6250000</v>
      </c>
      <c r="L52" s="53">
        <f>WPF!M29+WPF!M34</f>
        <v>6801170</v>
      </c>
      <c r="M52" s="53">
        <f>WPF!N29+WPF!N34</f>
        <v>5062028</v>
      </c>
      <c r="N52" s="53">
        <f>WPF!O29+WPF!O34</f>
        <v>7350523</v>
      </c>
      <c r="O52" s="53">
        <f>WPF!P29+WPF!P34</f>
        <v>6300000</v>
      </c>
      <c r="P52" s="53">
        <f>WPF!Q29+WPF!Q34</f>
        <v>4523949</v>
      </c>
    </row>
    <row r="53" spans="1:16" ht="12" customHeight="1">
      <c r="A53" s="75" t="s">
        <v>67</v>
      </c>
      <c r="B53" s="55" t="s">
        <v>90</v>
      </c>
      <c r="C53" s="51">
        <v>1422000</v>
      </c>
      <c r="D53" s="51">
        <v>2963314</v>
      </c>
      <c r="E53" s="76">
        <v>3340085</v>
      </c>
      <c r="F53" s="408">
        <f>WPF!G30</f>
        <v>2141585</v>
      </c>
      <c r="G53" s="416">
        <f>WPF!H30</f>
        <v>3535040</v>
      </c>
      <c r="H53" s="51">
        <f>WPF!I30</f>
        <v>3666899</v>
      </c>
      <c r="I53" s="51">
        <f>WPF!J30</f>
        <v>3506453</v>
      </c>
      <c r="J53" s="51">
        <f>WPF!K30</f>
        <v>2550000</v>
      </c>
      <c r="K53" s="51">
        <f>WPF!L30</f>
        <v>2550000</v>
      </c>
      <c r="L53" s="51">
        <f>WPF!M30</f>
        <v>2401170</v>
      </c>
      <c r="M53" s="51">
        <f>WPF!N30</f>
        <v>62028</v>
      </c>
      <c r="N53" s="51">
        <f>WPF!O30</f>
        <v>750523</v>
      </c>
      <c r="O53" s="51">
        <f>WPF!P30</f>
        <v>600000</v>
      </c>
      <c r="P53" s="51">
        <f>WPF!Q30</f>
        <v>423949</v>
      </c>
    </row>
    <row r="54" spans="1:16" ht="12" customHeight="1">
      <c r="A54" s="75" t="s">
        <v>69</v>
      </c>
      <c r="B54" s="55" t="s">
        <v>91</v>
      </c>
      <c r="C54" s="51"/>
      <c r="D54" s="51">
        <v>500000</v>
      </c>
      <c r="E54" s="76">
        <v>3600000</v>
      </c>
      <c r="F54" s="408">
        <f>WPF!G31</f>
        <v>410000</v>
      </c>
      <c r="G54" s="416">
        <f>WPF!H31</f>
        <v>400000</v>
      </c>
      <c r="H54" s="51">
        <f>WPF!I31</f>
        <v>600000</v>
      </c>
      <c r="I54" s="51">
        <f>WPF!J31</f>
        <v>600000</v>
      </c>
      <c r="J54" s="51">
        <f>WPF!K31</f>
        <v>600000</v>
      </c>
      <c r="K54" s="51">
        <f>WPF!L31</f>
        <v>700000</v>
      </c>
      <c r="L54" s="51">
        <f>WPF!M31</f>
        <v>1400000</v>
      </c>
      <c r="M54" s="51">
        <f>WPF!N31</f>
        <v>0</v>
      </c>
      <c r="N54" s="51">
        <f>WPF!O31</f>
        <v>0</v>
      </c>
      <c r="O54" s="51">
        <f>WPF!P31</f>
        <v>0</v>
      </c>
      <c r="P54" s="51">
        <f>WPF!Q31</f>
        <v>0</v>
      </c>
    </row>
    <row r="55" spans="1:16" ht="12.75" customHeight="1">
      <c r="A55" s="75" t="s">
        <v>77</v>
      </c>
      <c r="B55" s="55" t="s">
        <v>92</v>
      </c>
      <c r="C55" s="51"/>
      <c r="D55" s="51"/>
      <c r="E55" s="76"/>
      <c r="F55" s="408">
        <f>WPF!G32</f>
        <v>2000000</v>
      </c>
      <c r="G55" s="416">
        <f>WPF!H32</f>
        <v>3000000</v>
      </c>
      <c r="H55" s="51">
        <f>WPF!I32</f>
        <v>3000000</v>
      </c>
      <c r="I55" s="51">
        <f>WPF!J32</f>
        <v>3000000</v>
      </c>
      <c r="J55" s="51">
        <f>WPF!K32</f>
        <v>3000000</v>
      </c>
      <c r="K55" s="51">
        <f>WPF!L32</f>
        <v>3000000</v>
      </c>
      <c r="L55" s="51">
        <f>WPF!M32</f>
        <v>3000000</v>
      </c>
      <c r="M55" s="51">
        <f>WPF!N32</f>
        <v>5000000</v>
      </c>
      <c r="N55" s="51">
        <f>WPF!O32</f>
        <v>6600000</v>
      </c>
      <c r="O55" s="51">
        <f>WPF!P32</f>
        <v>5700000</v>
      </c>
      <c r="P55" s="51">
        <f>WPF!Q32</f>
        <v>4100000</v>
      </c>
    </row>
    <row r="56" spans="1:16" ht="36" customHeight="1" thickBot="1">
      <c r="A56" s="145">
        <v>16</v>
      </c>
      <c r="B56" s="146" t="s">
        <v>144</v>
      </c>
      <c r="C56" s="147">
        <f>(WPF!D14+WPF!D24)/'Prognoza długu'!C25%</f>
        <v>157.7697469829884</v>
      </c>
      <c r="D56" s="147">
        <f>(WPF!E14+WPF!E24)/'Prognoza długu'!D25%</f>
        <v>116.24893719986517</v>
      </c>
      <c r="E56" s="147">
        <f>(WPF!F14+WPF!F24)/'Prognoza długu'!E25%</f>
        <v>109.50668943564182</v>
      </c>
      <c r="F56" s="413">
        <f>(WPF!G14+WPF!G24)/'Prognoza długu'!F25%</f>
        <v>109.5395095059268</v>
      </c>
      <c r="G56" s="420">
        <f>(WPF!H14+WPF!H24)/'Prognoza długu'!G25%</f>
        <v>105.96789208731923</v>
      </c>
      <c r="H56" s="147">
        <f>(WPF!I14+WPF!I24)/'Prognoza długu'!H25%</f>
        <v>132.45274507832323</v>
      </c>
      <c r="I56" s="147">
        <f>(WPF!J14+WPF!J24)/'Prognoza długu'!I25%</f>
        <v>132.1374880178056</v>
      </c>
      <c r="J56" s="147">
        <f>(WPF!K14+WPF!K24)/'Prognoza długu'!J25%</f>
        <v>142.00766202964618</v>
      </c>
      <c r="K56" s="147">
        <f>(WPF!L14+WPF!L24)/'Prognoza długu'!K25%</f>
        <v>124.72566253037135</v>
      </c>
      <c r="L56" s="147">
        <f>(WPF!M14+WPF!M24)/'Prognoza długu'!L25%</f>
        <v>126.2044818932295</v>
      </c>
      <c r="M56" s="147">
        <f>(WPF!N14+WPF!N24)/'Prognoza długu'!M25%</f>
        <v>126.35710440384356</v>
      </c>
      <c r="N56" s="147">
        <f>(WPF!O14+WPF!O24)/'Prognoza długu'!N25%</f>
        <v>130.75654626875075</v>
      </c>
      <c r="O56" s="147">
        <f>(WPF!P14+WPF!P24)/'Prognoza długu'!O25%</f>
        <v>129.03440549707784</v>
      </c>
      <c r="P56" s="147">
        <f>(WPF!Q14+WPF!Q24)/'Prognoza długu'!P25%</f>
        <v>128.49611105587425</v>
      </c>
    </row>
    <row r="57" spans="1:16" ht="12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12.7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</row>
  </sheetData>
  <sheetProtection/>
  <mergeCells count="11">
    <mergeCell ref="A6:P6"/>
    <mergeCell ref="A7:A9"/>
    <mergeCell ref="B7:B9"/>
    <mergeCell ref="C7:P7"/>
    <mergeCell ref="F8:P8"/>
    <mergeCell ref="C8:E8"/>
    <mergeCell ref="A39:A41"/>
    <mergeCell ref="B39:B41"/>
    <mergeCell ref="C39:P39"/>
    <mergeCell ref="C40:E40"/>
    <mergeCell ref="F40:P40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3"/>
  <sheetViews>
    <sheetView view="pageLayout" zoomScaleNormal="90" workbookViewId="0" topLeftCell="K143">
      <pane xSplit="16860" topLeftCell="L1" activePane="topLeft" state="split"/>
      <selection pane="topLeft" activeCell="P157" sqref="P157"/>
      <selection pane="topRight" activeCell="L17" sqref="L17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31" customWidth="1"/>
    <col min="4" max="5" width="8.28125" style="31" customWidth="1"/>
    <col min="6" max="6" width="5.28125" style="31" customWidth="1"/>
    <col min="7" max="7" width="6.28125" style="31" customWidth="1"/>
    <col min="8" max="8" width="8.00390625" style="31" customWidth="1"/>
    <col min="9" max="9" width="14.140625" style="31" customWidth="1"/>
    <col min="10" max="11" width="12.8515625" style="31" customWidth="1"/>
    <col min="12" max="12" width="13.00390625" style="31" customWidth="1"/>
    <col min="13" max="13" width="12.57421875" style="31" customWidth="1"/>
    <col min="14" max="14" width="12.7109375" style="31" customWidth="1"/>
    <col min="15" max="15" width="12.57421875" style="31" customWidth="1"/>
    <col min="16" max="16" width="11.140625" style="31" customWidth="1"/>
    <col min="17" max="17" width="14.421875" style="0" customWidth="1"/>
  </cols>
  <sheetData>
    <row r="1" spans="1:17" s="33" customFormat="1" ht="15" customHeight="1">
      <c r="A1" s="359"/>
      <c r="B1" s="149"/>
      <c r="C1" s="149"/>
      <c r="D1" s="149"/>
      <c r="E1" s="149"/>
      <c r="F1" s="149"/>
      <c r="G1" s="150"/>
      <c r="H1" s="149"/>
      <c r="I1" s="149"/>
      <c r="J1" s="149"/>
      <c r="K1" s="149"/>
      <c r="L1" s="149"/>
      <c r="M1" s="149"/>
      <c r="N1" s="149"/>
      <c r="O1" s="58" t="s">
        <v>145</v>
      </c>
      <c r="P1" s="58"/>
      <c r="Q1" s="149"/>
    </row>
    <row r="2" spans="1:17" s="36" customFormat="1" ht="4.5" customHeight="1">
      <c r="A2" s="359"/>
      <c r="B2" s="149"/>
      <c r="C2" s="149"/>
      <c r="D2" s="149"/>
      <c r="E2" s="149"/>
      <c r="F2" s="149"/>
      <c r="G2" s="151"/>
      <c r="H2" s="149"/>
      <c r="I2" s="149"/>
      <c r="J2" s="149"/>
      <c r="K2" s="149"/>
      <c r="L2" s="149"/>
      <c r="M2" s="149"/>
      <c r="N2" s="149"/>
      <c r="O2" s="63"/>
      <c r="P2" s="64"/>
      <c r="Q2" s="149"/>
    </row>
    <row r="3" spans="1:17" s="36" customFormat="1" ht="12.75" customHeight="1">
      <c r="A3" s="359"/>
      <c r="B3" s="149"/>
      <c r="C3" s="149"/>
      <c r="D3" s="149"/>
      <c r="E3" s="149"/>
      <c r="F3" s="149"/>
      <c r="G3" s="152"/>
      <c r="H3" s="149"/>
      <c r="I3" s="149"/>
      <c r="J3" s="149"/>
      <c r="K3" s="149"/>
      <c r="L3" s="149"/>
      <c r="M3" s="149"/>
      <c r="N3" s="149"/>
      <c r="O3" s="68" t="s">
        <v>394</v>
      </c>
      <c r="P3" s="64"/>
      <c r="Q3" s="149"/>
    </row>
    <row r="4" spans="1:17" s="36" customFormat="1" ht="12.75" customHeight="1">
      <c r="A4" s="359"/>
      <c r="B4" s="149"/>
      <c r="C4" s="149"/>
      <c r="D4" s="149"/>
      <c r="E4" s="149"/>
      <c r="F4" s="149"/>
      <c r="G4" s="152"/>
      <c r="H4" s="149"/>
      <c r="I4" s="149"/>
      <c r="J4" s="149"/>
      <c r="K4" s="149"/>
      <c r="L4" s="149"/>
      <c r="M4" s="149"/>
      <c r="N4" s="149"/>
      <c r="O4" s="68" t="s">
        <v>49</v>
      </c>
      <c r="P4" s="64"/>
      <c r="Q4" s="149"/>
    </row>
    <row r="5" spans="1:17" s="36" customFormat="1" ht="12.75" customHeight="1" thickBot="1">
      <c r="A5" s="359"/>
      <c r="B5" s="149"/>
      <c r="C5" s="149"/>
      <c r="D5" s="149"/>
      <c r="E5" s="149"/>
      <c r="F5" s="149"/>
      <c r="G5" s="152"/>
      <c r="H5" s="149"/>
      <c r="I5" s="149"/>
      <c r="J5" s="536"/>
      <c r="K5" s="149"/>
      <c r="L5" s="149"/>
      <c r="M5" s="149"/>
      <c r="N5" s="149"/>
      <c r="O5" s="68" t="s">
        <v>395</v>
      </c>
      <c r="P5" s="64"/>
      <c r="Q5" s="149"/>
    </row>
    <row r="6" spans="1:17" s="36" customFormat="1" ht="12.75" customHeight="1">
      <c r="A6" s="643" t="s">
        <v>320</v>
      </c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</row>
    <row r="7" spans="1:17" s="36" customFormat="1" ht="12.75" customHeight="1" thickBot="1">
      <c r="A7" s="644"/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</row>
    <row r="8" spans="1:17" s="36" customFormat="1" ht="12.75" customHeight="1">
      <c r="A8" s="627" t="s">
        <v>113</v>
      </c>
      <c r="B8" s="631" t="s">
        <v>146</v>
      </c>
      <c r="C8" s="635" t="s">
        <v>147</v>
      </c>
      <c r="D8" s="638" t="s">
        <v>233</v>
      </c>
      <c r="E8" s="638"/>
      <c r="F8" s="638" t="s">
        <v>148</v>
      </c>
      <c r="G8" s="638"/>
      <c r="H8" s="638"/>
      <c r="I8" s="640" t="s">
        <v>149</v>
      </c>
      <c r="J8" s="645" t="s">
        <v>319</v>
      </c>
      <c r="K8" s="645"/>
      <c r="L8" s="645"/>
      <c r="M8" s="645"/>
      <c r="N8" s="645"/>
      <c r="O8" s="645"/>
      <c r="P8" s="645"/>
      <c r="Q8" s="618" t="s">
        <v>150</v>
      </c>
    </row>
    <row r="9" spans="1:17" s="36" customFormat="1" ht="11.25" customHeight="1">
      <c r="A9" s="628"/>
      <c r="B9" s="632"/>
      <c r="C9" s="636"/>
      <c r="D9" s="639"/>
      <c r="E9" s="639"/>
      <c r="F9" s="639"/>
      <c r="G9" s="639"/>
      <c r="H9" s="639"/>
      <c r="I9" s="625"/>
      <c r="J9" s="622">
        <v>2012</v>
      </c>
      <c r="K9" s="623"/>
      <c r="L9" s="623"/>
      <c r="M9" s="624">
        <v>2013</v>
      </c>
      <c r="N9" s="624">
        <v>2014</v>
      </c>
      <c r="O9" s="624">
        <v>2015</v>
      </c>
      <c r="P9" s="624">
        <v>2016</v>
      </c>
      <c r="Q9" s="619"/>
    </row>
    <row r="10" spans="1:17" s="36" customFormat="1" ht="11.25" customHeight="1">
      <c r="A10" s="629"/>
      <c r="B10" s="633"/>
      <c r="C10" s="637"/>
      <c r="D10" s="624" t="s">
        <v>151</v>
      </c>
      <c r="E10" s="624" t="s">
        <v>152</v>
      </c>
      <c r="F10" s="642" t="s">
        <v>153</v>
      </c>
      <c r="G10" s="642" t="s">
        <v>154</v>
      </c>
      <c r="H10" s="642" t="s">
        <v>155</v>
      </c>
      <c r="I10" s="641"/>
      <c r="J10" s="622"/>
      <c r="K10" s="623"/>
      <c r="L10" s="623"/>
      <c r="M10" s="625"/>
      <c r="N10" s="625"/>
      <c r="O10" s="625"/>
      <c r="P10" s="625"/>
      <c r="Q10" s="620"/>
    </row>
    <row r="11" spans="1:17" s="36" customFormat="1" ht="20.25" customHeight="1" thickBot="1">
      <c r="A11" s="630"/>
      <c r="B11" s="634"/>
      <c r="C11" s="634"/>
      <c r="D11" s="634"/>
      <c r="E11" s="634"/>
      <c r="F11" s="634"/>
      <c r="G11" s="634"/>
      <c r="H11" s="634"/>
      <c r="I11" s="634"/>
      <c r="J11" s="484" t="s">
        <v>316</v>
      </c>
      <c r="K11" s="484" t="s">
        <v>317</v>
      </c>
      <c r="L11" s="484" t="s">
        <v>318</v>
      </c>
      <c r="M11" s="626"/>
      <c r="N11" s="626"/>
      <c r="O11" s="626"/>
      <c r="P11" s="626"/>
      <c r="Q11" s="621"/>
    </row>
    <row r="12" spans="1:17" s="32" customFormat="1" ht="26.25" customHeight="1">
      <c r="A12" s="153"/>
      <c r="B12" s="154" t="s">
        <v>156</v>
      </c>
      <c r="C12" s="155" t="s">
        <v>82</v>
      </c>
      <c r="D12" s="155" t="s">
        <v>82</v>
      </c>
      <c r="E12" s="155" t="s">
        <v>82</v>
      </c>
      <c r="F12" s="155"/>
      <c r="G12" s="155"/>
      <c r="H12" s="155"/>
      <c r="I12" s="156">
        <f aca="true" t="shared" si="0" ref="I12:P12">I13+I14</f>
        <v>245487498</v>
      </c>
      <c r="J12" s="485">
        <f t="shared" si="0"/>
        <v>72203203</v>
      </c>
      <c r="K12" s="485">
        <f>K13+K14</f>
        <v>1780395</v>
      </c>
      <c r="L12" s="485">
        <f>L13+L14</f>
        <v>73983598</v>
      </c>
      <c r="M12" s="156">
        <f t="shared" si="0"/>
        <v>82734266</v>
      </c>
      <c r="N12" s="157">
        <f>N13+N14</f>
        <v>25029714</v>
      </c>
      <c r="O12" s="157">
        <f t="shared" si="0"/>
        <v>40931310</v>
      </c>
      <c r="P12" s="157">
        <f t="shared" si="0"/>
        <v>4748490</v>
      </c>
      <c r="Q12" s="158">
        <f>SUM(L12:P12)</f>
        <v>227427378</v>
      </c>
    </row>
    <row r="13" spans="1:17" s="37" customFormat="1" ht="24.75" customHeight="1">
      <c r="A13" s="159"/>
      <c r="B13" s="160" t="s">
        <v>157</v>
      </c>
      <c r="C13" s="88" t="s">
        <v>82</v>
      </c>
      <c r="D13" s="88" t="s">
        <v>82</v>
      </c>
      <c r="E13" s="88" t="s">
        <v>82</v>
      </c>
      <c r="F13" s="88"/>
      <c r="G13" s="88"/>
      <c r="H13" s="88"/>
      <c r="I13" s="161">
        <f aca="true" t="shared" si="1" ref="I13:P13">I97</f>
        <v>28039058</v>
      </c>
      <c r="J13" s="486">
        <f t="shared" si="1"/>
        <v>10526920</v>
      </c>
      <c r="K13" s="486">
        <f>K97</f>
        <v>62500</v>
      </c>
      <c r="L13" s="486">
        <f>L97</f>
        <v>10589420</v>
      </c>
      <c r="M13" s="161">
        <f t="shared" si="1"/>
        <v>5092114</v>
      </c>
      <c r="N13" s="161">
        <f t="shared" si="1"/>
        <v>4663714</v>
      </c>
      <c r="O13" s="161">
        <f t="shared" si="1"/>
        <v>2455310</v>
      </c>
      <c r="P13" s="161">
        <f t="shared" si="1"/>
        <v>2388490</v>
      </c>
      <c r="Q13" s="162">
        <f>SUM(L13:P13)</f>
        <v>25189048</v>
      </c>
    </row>
    <row r="14" spans="1:17" s="37" customFormat="1" ht="24.75" customHeight="1">
      <c r="A14" s="159"/>
      <c r="B14" s="160" t="s">
        <v>158</v>
      </c>
      <c r="C14" s="88" t="s">
        <v>82</v>
      </c>
      <c r="D14" s="88" t="s">
        <v>82</v>
      </c>
      <c r="E14" s="88" t="s">
        <v>82</v>
      </c>
      <c r="F14" s="88"/>
      <c r="G14" s="88"/>
      <c r="H14" s="88"/>
      <c r="I14" s="161">
        <f aca="true" t="shared" si="2" ref="I14:P15">I15</f>
        <v>217448440</v>
      </c>
      <c r="J14" s="486">
        <f t="shared" si="2"/>
        <v>61676283</v>
      </c>
      <c r="K14" s="486">
        <f t="shared" si="2"/>
        <v>1717895</v>
      </c>
      <c r="L14" s="486">
        <f t="shared" si="2"/>
        <v>63394178</v>
      </c>
      <c r="M14" s="161">
        <f t="shared" si="2"/>
        <v>77642152</v>
      </c>
      <c r="N14" s="161">
        <f t="shared" si="2"/>
        <v>20366000</v>
      </c>
      <c r="O14" s="161">
        <f t="shared" si="2"/>
        <v>38476000</v>
      </c>
      <c r="P14" s="161">
        <f t="shared" si="2"/>
        <v>2360000</v>
      </c>
      <c r="Q14" s="162">
        <f>SUM(L14:P14)</f>
        <v>202238330</v>
      </c>
    </row>
    <row r="15" spans="1:17" s="38" customFormat="1" ht="39.75" customHeight="1">
      <c r="A15" s="163" t="s">
        <v>159</v>
      </c>
      <c r="B15" s="164" t="s">
        <v>266</v>
      </c>
      <c r="C15" s="165" t="s">
        <v>82</v>
      </c>
      <c r="D15" s="165" t="s">
        <v>82</v>
      </c>
      <c r="E15" s="165" t="s">
        <v>82</v>
      </c>
      <c r="F15" s="165"/>
      <c r="G15" s="165"/>
      <c r="H15" s="165"/>
      <c r="I15" s="166">
        <f>I16</f>
        <v>217448440</v>
      </c>
      <c r="J15" s="487">
        <f t="shared" si="2"/>
        <v>61676283</v>
      </c>
      <c r="K15" s="487">
        <f t="shared" si="2"/>
        <v>1717895</v>
      </c>
      <c r="L15" s="487">
        <f t="shared" si="2"/>
        <v>63394178</v>
      </c>
      <c r="M15" s="166">
        <f t="shared" si="2"/>
        <v>77642152</v>
      </c>
      <c r="N15" s="167">
        <f>N16</f>
        <v>20366000</v>
      </c>
      <c r="O15" s="167">
        <f>O16</f>
        <v>38476000</v>
      </c>
      <c r="P15" s="166">
        <f>P16</f>
        <v>2360000</v>
      </c>
      <c r="Q15" s="168">
        <f>SUM(L15:P15)</f>
        <v>202238330</v>
      </c>
    </row>
    <row r="16" spans="1:19" s="37" customFormat="1" ht="25.5" customHeight="1">
      <c r="A16" s="159"/>
      <c r="B16" s="160" t="s">
        <v>158</v>
      </c>
      <c r="C16" s="88" t="s">
        <v>82</v>
      </c>
      <c r="D16" s="88" t="s">
        <v>82</v>
      </c>
      <c r="E16" s="88" t="s">
        <v>82</v>
      </c>
      <c r="F16" s="88"/>
      <c r="G16" s="88"/>
      <c r="H16" s="88"/>
      <c r="I16" s="161">
        <f aca="true" t="shared" si="3" ref="I16:Q16">I18+I67</f>
        <v>217448440</v>
      </c>
      <c r="J16" s="486">
        <f t="shared" si="3"/>
        <v>61676283</v>
      </c>
      <c r="K16" s="486">
        <f t="shared" si="3"/>
        <v>1717895</v>
      </c>
      <c r="L16" s="486">
        <f t="shared" si="3"/>
        <v>63394178</v>
      </c>
      <c r="M16" s="161">
        <f t="shared" si="3"/>
        <v>77642152</v>
      </c>
      <c r="N16" s="161">
        <f t="shared" si="3"/>
        <v>20366000</v>
      </c>
      <c r="O16" s="161">
        <f t="shared" si="3"/>
        <v>38476000</v>
      </c>
      <c r="P16" s="161">
        <f t="shared" si="3"/>
        <v>2360000</v>
      </c>
      <c r="Q16" s="161">
        <f t="shared" si="3"/>
        <v>203495280</v>
      </c>
      <c r="R16" s="39"/>
      <c r="S16" s="39"/>
    </row>
    <row r="17" spans="1:26" s="42" customFormat="1" ht="62.25" customHeight="1">
      <c r="A17" s="163" t="s">
        <v>160</v>
      </c>
      <c r="B17" s="352" t="s">
        <v>161</v>
      </c>
      <c r="C17" s="165" t="s">
        <v>82</v>
      </c>
      <c r="D17" s="165" t="s">
        <v>82</v>
      </c>
      <c r="E17" s="165" t="s">
        <v>82</v>
      </c>
      <c r="F17" s="165"/>
      <c r="G17" s="165"/>
      <c r="H17" s="165"/>
      <c r="I17" s="166">
        <f aca="true" t="shared" si="4" ref="I17:P17">I18</f>
        <v>194275915</v>
      </c>
      <c r="J17" s="487">
        <f t="shared" si="4"/>
        <v>52875446</v>
      </c>
      <c r="K17" s="487">
        <f t="shared" si="4"/>
        <v>1256285</v>
      </c>
      <c r="L17" s="487">
        <f t="shared" si="4"/>
        <v>54131731</v>
      </c>
      <c r="M17" s="166">
        <f t="shared" si="4"/>
        <v>68627612</v>
      </c>
      <c r="N17" s="166">
        <f t="shared" si="4"/>
        <v>18500000</v>
      </c>
      <c r="O17" s="166">
        <f t="shared" si="4"/>
        <v>38390000</v>
      </c>
      <c r="P17" s="166">
        <f t="shared" si="4"/>
        <v>1710000</v>
      </c>
      <c r="Q17" s="168">
        <f>SUM(L17:P17)</f>
        <v>181359343</v>
      </c>
      <c r="R17" s="40"/>
      <c r="S17" s="40"/>
      <c r="T17" s="41"/>
      <c r="U17" s="41"/>
      <c r="V17" s="41"/>
      <c r="W17" s="41"/>
      <c r="X17" s="41"/>
      <c r="Y17" s="41"/>
      <c r="Z17" s="41"/>
    </row>
    <row r="18" spans="1:17" s="37" customFormat="1" ht="25.5" customHeight="1">
      <c r="A18" s="159"/>
      <c r="B18" s="160" t="s">
        <v>158</v>
      </c>
      <c r="C18" s="88" t="s">
        <v>82</v>
      </c>
      <c r="D18" s="88" t="s">
        <v>82</v>
      </c>
      <c r="E18" s="88" t="s">
        <v>82</v>
      </c>
      <c r="F18" s="88"/>
      <c r="G18" s="88"/>
      <c r="H18" s="88"/>
      <c r="I18" s="161">
        <f aca="true" t="shared" si="5" ref="I18:Q18">I19+I38+I50</f>
        <v>194275915</v>
      </c>
      <c r="J18" s="486">
        <f t="shared" si="5"/>
        <v>52875446</v>
      </c>
      <c r="K18" s="486">
        <f t="shared" si="5"/>
        <v>1256285</v>
      </c>
      <c r="L18" s="486">
        <f t="shared" si="5"/>
        <v>54131731</v>
      </c>
      <c r="M18" s="161">
        <f t="shared" si="5"/>
        <v>68627612</v>
      </c>
      <c r="N18" s="161">
        <f t="shared" si="5"/>
        <v>18500000</v>
      </c>
      <c r="O18" s="161">
        <f t="shared" si="5"/>
        <v>38390000</v>
      </c>
      <c r="P18" s="161">
        <f t="shared" si="5"/>
        <v>1710000</v>
      </c>
      <c r="Q18" s="169">
        <f t="shared" si="5"/>
        <v>181359343</v>
      </c>
    </row>
    <row r="19" spans="1:17" s="43" customFormat="1" ht="30.75" customHeight="1">
      <c r="A19" s="389" t="s">
        <v>162</v>
      </c>
      <c r="B19" s="390" t="s">
        <v>163</v>
      </c>
      <c r="C19" s="391" t="s">
        <v>164</v>
      </c>
      <c r="D19" s="377">
        <v>2004</v>
      </c>
      <c r="E19" s="377">
        <v>2016</v>
      </c>
      <c r="F19" s="646" t="s">
        <v>237</v>
      </c>
      <c r="G19" s="646"/>
      <c r="H19" s="646"/>
      <c r="I19" s="392">
        <f>I20+I24+I28+I29+I30+I31+I32+I37</f>
        <v>81870418</v>
      </c>
      <c r="J19" s="392">
        <f>J20+J24+J28+J29+J30+J31+J32+J37</f>
        <v>23805446</v>
      </c>
      <c r="K19" s="392">
        <f>K20+K24+K28+K29+K30+K31+K32+K37</f>
        <v>540000</v>
      </c>
      <c r="L19" s="392">
        <f>L20+L24+L28+L29+L30+L31+L32+L37</f>
        <v>24345446</v>
      </c>
      <c r="M19" s="392">
        <f>M24+M20+M37+M30+M29+M28+M31+M32</f>
        <v>35771261</v>
      </c>
      <c r="N19" s="392">
        <f>N24+N20+N37+N30+N29+N28+N31</f>
        <v>4500000</v>
      </c>
      <c r="O19" s="392">
        <f>O24+O20+O37+O30+O29+O28+O31+O32</f>
        <v>6590000</v>
      </c>
      <c r="P19" s="392">
        <f>P24+P20+P37+P30+P29+P28+P31+P32</f>
        <v>1710000</v>
      </c>
      <c r="Q19" s="392">
        <f>Q24+Q20+SUM(Q28:Q37)</f>
        <v>72916707</v>
      </c>
    </row>
    <row r="20" spans="1:17" s="19" customFormat="1" ht="25.5" customHeight="1">
      <c r="A20" s="193" t="s">
        <v>165</v>
      </c>
      <c r="B20" s="647" t="s">
        <v>166</v>
      </c>
      <c r="C20" s="512" t="s">
        <v>167</v>
      </c>
      <c r="D20" s="511">
        <v>2004</v>
      </c>
      <c r="E20" s="511">
        <v>2016</v>
      </c>
      <c r="F20" s="649" t="s">
        <v>168</v>
      </c>
      <c r="G20" s="649"/>
      <c r="H20" s="649"/>
      <c r="I20" s="173">
        <f>SUM(I21:I23)</f>
        <v>48644433</v>
      </c>
      <c r="J20" s="486">
        <f>SUM(J21:J23)</f>
        <v>13455250</v>
      </c>
      <c r="K20" s="486">
        <f>SUM(K21:K23)</f>
        <v>0</v>
      </c>
      <c r="L20" s="486">
        <f>J20+K20</f>
        <v>13455250</v>
      </c>
      <c r="M20" s="173">
        <f>SUM(M21:M23)</f>
        <v>17516261</v>
      </c>
      <c r="N20" s="173">
        <f>SUM(N21:N23)</f>
        <v>4500000</v>
      </c>
      <c r="O20" s="173">
        <f>SUM(O21:O23)</f>
        <v>6500000</v>
      </c>
      <c r="P20" s="173">
        <f>SUM(P21:P23)</f>
        <v>1000000</v>
      </c>
      <c r="Q20" s="162">
        <f>SUM(L20:P20)</f>
        <v>42971511</v>
      </c>
    </row>
    <row r="21" spans="1:17" s="19" customFormat="1" ht="24.75" customHeight="1">
      <c r="A21" s="200"/>
      <c r="B21" s="648"/>
      <c r="C21" s="354"/>
      <c r="D21" s="354"/>
      <c r="E21" s="354"/>
      <c r="F21" s="174" t="s">
        <v>169</v>
      </c>
      <c r="G21" s="174" t="s">
        <v>170</v>
      </c>
      <c r="H21" s="174">
        <v>6050</v>
      </c>
      <c r="I21" s="175">
        <f>L21+M21+N21+O21+P21+1903935</f>
        <v>20681645</v>
      </c>
      <c r="J21" s="488">
        <v>6292710</v>
      </c>
      <c r="K21" s="488"/>
      <c r="L21" s="494">
        <f aca="true" t="shared" si="6" ref="L21:L42">J21+K21</f>
        <v>6292710</v>
      </c>
      <c r="M21" s="176">
        <v>485000</v>
      </c>
      <c r="N21" s="176">
        <v>4500000</v>
      </c>
      <c r="O21" s="176">
        <v>6500000</v>
      </c>
      <c r="P21" s="177">
        <v>1000000</v>
      </c>
      <c r="Q21" s="178">
        <f>SUM(L21:P21)</f>
        <v>18777710</v>
      </c>
    </row>
    <row r="22" spans="1:17" s="19" customFormat="1" ht="25.5" customHeight="1">
      <c r="A22" s="200"/>
      <c r="B22" s="369"/>
      <c r="C22" s="354"/>
      <c r="D22" s="354"/>
      <c r="E22" s="354"/>
      <c r="F22" s="179"/>
      <c r="G22" s="179"/>
      <c r="H22" s="179">
        <v>6058</v>
      </c>
      <c r="I22" s="180">
        <f>L22+M22</f>
        <v>19960500</v>
      </c>
      <c r="J22" s="489">
        <v>5082999</v>
      </c>
      <c r="K22" s="489"/>
      <c r="L22" s="495">
        <f t="shared" si="6"/>
        <v>5082999</v>
      </c>
      <c r="M22" s="181">
        <v>14877501</v>
      </c>
      <c r="N22" s="182"/>
      <c r="O22" s="182"/>
      <c r="P22" s="182"/>
      <c r="Q22" s="183">
        <f aca="true" t="shared" si="7" ref="Q22:Q27">SUM(L22:O22)</f>
        <v>19960500</v>
      </c>
    </row>
    <row r="23" spans="1:17" s="19" customFormat="1" ht="25.5" customHeight="1">
      <c r="A23" s="355"/>
      <c r="B23" s="370"/>
      <c r="C23" s="356"/>
      <c r="D23" s="356"/>
      <c r="E23" s="356"/>
      <c r="F23" s="184"/>
      <c r="G23" s="184"/>
      <c r="H23" s="184">
        <v>6059</v>
      </c>
      <c r="I23" s="185">
        <f>L23+M23+3768987</f>
        <v>8002288</v>
      </c>
      <c r="J23" s="497">
        <v>2079541</v>
      </c>
      <c r="K23" s="490"/>
      <c r="L23" s="496">
        <f>J23+K23</f>
        <v>2079541</v>
      </c>
      <c r="M23" s="186">
        <v>2153760</v>
      </c>
      <c r="N23" s="187"/>
      <c r="O23" s="187"/>
      <c r="P23" s="187"/>
      <c r="Q23" s="183">
        <f t="shared" si="7"/>
        <v>4233301</v>
      </c>
    </row>
    <row r="24" spans="1:17" s="19" customFormat="1" ht="25.5" customHeight="1">
      <c r="A24" s="193" t="s">
        <v>171</v>
      </c>
      <c r="B24" s="647" t="s">
        <v>172</v>
      </c>
      <c r="C24" s="353" t="s">
        <v>167</v>
      </c>
      <c r="D24" s="353">
        <v>2004</v>
      </c>
      <c r="E24" s="353">
        <v>2013</v>
      </c>
      <c r="F24" s="649" t="s">
        <v>168</v>
      </c>
      <c r="G24" s="649"/>
      <c r="H24" s="649"/>
      <c r="I24" s="173">
        <f>SUM(I25:I27)</f>
        <v>29475896</v>
      </c>
      <c r="J24" s="486">
        <f>SUM(J25:J27)</f>
        <v>7948196</v>
      </c>
      <c r="K24" s="486"/>
      <c r="L24" s="486">
        <f t="shared" si="6"/>
        <v>7948196</v>
      </c>
      <c r="M24" s="173">
        <f>SUM(M25:M27)</f>
        <v>18255000</v>
      </c>
      <c r="N24" s="235">
        <v>0</v>
      </c>
      <c r="O24" s="172">
        <v>0</v>
      </c>
      <c r="P24" s="172">
        <v>0</v>
      </c>
      <c r="Q24" s="162">
        <f t="shared" si="7"/>
        <v>26203196</v>
      </c>
    </row>
    <row r="25" spans="1:17" s="19" customFormat="1" ht="25.5" customHeight="1">
      <c r="A25" s="200"/>
      <c r="B25" s="648"/>
      <c r="C25" s="354"/>
      <c r="D25" s="354"/>
      <c r="E25" s="354"/>
      <c r="F25" s="174" t="s">
        <v>169</v>
      </c>
      <c r="G25" s="174" t="s">
        <v>170</v>
      </c>
      <c r="H25" s="174">
        <v>6050</v>
      </c>
      <c r="I25" s="175">
        <f>L25+M25+3272700</f>
        <v>5720896</v>
      </c>
      <c r="J25" s="488">
        <v>1948196</v>
      </c>
      <c r="K25" s="488"/>
      <c r="L25" s="494">
        <f t="shared" si="6"/>
        <v>1948196</v>
      </c>
      <c r="M25" s="176">
        <v>500000</v>
      </c>
      <c r="N25" s="177"/>
      <c r="O25" s="177"/>
      <c r="P25" s="177"/>
      <c r="Q25" s="178">
        <f t="shared" si="7"/>
        <v>2448196</v>
      </c>
    </row>
    <row r="26" spans="1:17" s="19" customFormat="1" ht="24.75" customHeight="1">
      <c r="A26" s="200"/>
      <c r="B26" s="371"/>
      <c r="C26" s="354"/>
      <c r="D26" s="354"/>
      <c r="E26" s="354"/>
      <c r="F26" s="179"/>
      <c r="G26" s="179"/>
      <c r="H26" s="179">
        <v>6058</v>
      </c>
      <c r="I26" s="180">
        <f>L26+M26</f>
        <v>19835000</v>
      </c>
      <c r="J26" s="489">
        <v>3600000</v>
      </c>
      <c r="K26" s="489"/>
      <c r="L26" s="495">
        <f t="shared" si="6"/>
        <v>3600000</v>
      </c>
      <c r="M26" s="181">
        <v>16235000</v>
      </c>
      <c r="N26" s="182"/>
      <c r="O26" s="182"/>
      <c r="P26" s="182"/>
      <c r="Q26" s="183">
        <f t="shared" si="7"/>
        <v>19835000</v>
      </c>
    </row>
    <row r="27" spans="1:17" s="19" customFormat="1" ht="24.75" customHeight="1">
      <c r="A27" s="355"/>
      <c r="B27" s="370"/>
      <c r="C27" s="357"/>
      <c r="D27" s="357"/>
      <c r="E27" s="356"/>
      <c r="F27" s="184"/>
      <c r="G27" s="184"/>
      <c r="H27" s="184">
        <v>6059</v>
      </c>
      <c r="I27" s="185">
        <f>L27+M27</f>
        <v>3920000</v>
      </c>
      <c r="J27" s="490">
        <v>2400000</v>
      </c>
      <c r="K27" s="490"/>
      <c r="L27" s="496">
        <f t="shared" si="6"/>
        <v>2400000</v>
      </c>
      <c r="M27" s="186">
        <v>1520000</v>
      </c>
      <c r="N27" s="187"/>
      <c r="O27" s="187"/>
      <c r="P27" s="187"/>
      <c r="Q27" s="188">
        <f t="shared" si="7"/>
        <v>3920000</v>
      </c>
    </row>
    <row r="28" spans="1:17" s="19" customFormat="1" ht="51.75" customHeight="1">
      <c r="A28" s="355" t="s">
        <v>244</v>
      </c>
      <c r="B28" s="372" t="s">
        <v>252</v>
      </c>
      <c r="C28" s="378" t="s">
        <v>167</v>
      </c>
      <c r="D28" s="356">
        <v>2011</v>
      </c>
      <c r="E28" s="356">
        <v>2012</v>
      </c>
      <c r="F28" s="380" t="s">
        <v>169</v>
      </c>
      <c r="G28" s="380" t="s">
        <v>170</v>
      </c>
      <c r="H28" s="356">
        <v>6050</v>
      </c>
      <c r="I28" s="366">
        <f>L28+3641</f>
        <v>139641</v>
      </c>
      <c r="J28" s="491">
        <v>136000</v>
      </c>
      <c r="K28" s="491"/>
      <c r="L28" s="486">
        <f t="shared" si="6"/>
        <v>136000</v>
      </c>
      <c r="M28" s="367"/>
      <c r="N28" s="368"/>
      <c r="O28" s="368"/>
      <c r="P28" s="368"/>
      <c r="Q28" s="499">
        <f>SUM(L28:P28)</f>
        <v>136000</v>
      </c>
    </row>
    <row r="29" spans="1:17" s="19" customFormat="1" ht="50.25" customHeight="1">
      <c r="A29" s="355" t="s">
        <v>245</v>
      </c>
      <c r="B29" s="372" t="s">
        <v>253</v>
      </c>
      <c r="C29" s="378" t="s">
        <v>167</v>
      </c>
      <c r="D29" s="356">
        <v>2011</v>
      </c>
      <c r="E29" s="356">
        <v>2012</v>
      </c>
      <c r="F29" s="380" t="s">
        <v>169</v>
      </c>
      <c r="G29" s="380" t="s">
        <v>170</v>
      </c>
      <c r="H29" s="356">
        <v>6050</v>
      </c>
      <c r="I29" s="366">
        <f>L29+3604</f>
        <v>271604</v>
      </c>
      <c r="J29" s="491">
        <v>268000</v>
      </c>
      <c r="K29" s="491"/>
      <c r="L29" s="486">
        <f t="shared" si="6"/>
        <v>268000</v>
      </c>
      <c r="M29" s="367"/>
      <c r="N29" s="368"/>
      <c r="O29" s="368"/>
      <c r="P29" s="368"/>
      <c r="Q29" s="188">
        <f>SUM(L29:P29)</f>
        <v>268000</v>
      </c>
    </row>
    <row r="30" spans="1:17" s="19" customFormat="1" ht="35.25" customHeight="1">
      <c r="A30" s="355" t="s">
        <v>250</v>
      </c>
      <c r="B30" s="373" t="s">
        <v>372</v>
      </c>
      <c r="C30" s="506" t="s">
        <v>167</v>
      </c>
      <c r="D30" s="356">
        <v>2012</v>
      </c>
      <c r="E30" s="356">
        <v>2016</v>
      </c>
      <c r="F30" s="356">
        <v>900</v>
      </c>
      <c r="G30" s="356">
        <v>90001</v>
      </c>
      <c r="H30" s="356">
        <v>6050</v>
      </c>
      <c r="I30" s="366">
        <f>Q30</f>
        <v>298000</v>
      </c>
      <c r="J30" s="491">
        <v>98000</v>
      </c>
      <c r="K30" s="491"/>
      <c r="L30" s="486">
        <f t="shared" si="6"/>
        <v>98000</v>
      </c>
      <c r="M30" s="367"/>
      <c r="N30" s="368"/>
      <c r="O30" s="367">
        <v>50000</v>
      </c>
      <c r="P30" s="367">
        <v>150000</v>
      </c>
      <c r="Q30" s="188">
        <f>SUM(L30:P30)</f>
        <v>298000</v>
      </c>
    </row>
    <row r="31" spans="1:17" s="19" customFormat="1" ht="33.75" customHeight="1">
      <c r="A31" s="355" t="s">
        <v>251</v>
      </c>
      <c r="B31" s="372" t="s">
        <v>196</v>
      </c>
      <c r="C31" s="501" t="s">
        <v>281</v>
      </c>
      <c r="D31" s="356">
        <v>2011</v>
      </c>
      <c r="E31" s="356">
        <v>2012</v>
      </c>
      <c r="F31" s="356">
        <v>900</v>
      </c>
      <c r="G31" s="356">
        <v>90001</v>
      </c>
      <c r="H31" s="356">
        <v>6050</v>
      </c>
      <c r="I31" s="366">
        <f>L31+844</f>
        <v>2340844</v>
      </c>
      <c r="J31" s="491">
        <v>1800000</v>
      </c>
      <c r="K31" s="491">
        <v>540000</v>
      </c>
      <c r="L31" s="486">
        <f t="shared" si="6"/>
        <v>2340000</v>
      </c>
      <c r="M31" s="367"/>
      <c r="N31" s="368"/>
      <c r="O31" s="368"/>
      <c r="P31" s="368"/>
      <c r="Q31" s="188">
        <f>SUM(L31:P31)</f>
        <v>2340000</v>
      </c>
    </row>
    <row r="32" spans="1:17" s="19" customFormat="1" ht="42.75" customHeight="1" thickBot="1">
      <c r="A32" s="355" t="s">
        <v>265</v>
      </c>
      <c r="B32" s="513" t="s">
        <v>373</v>
      </c>
      <c r="C32" s="512" t="s">
        <v>281</v>
      </c>
      <c r="D32" s="356">
        <v>2012</v>
      </c>
      <c r="E32" s="356">
        <v>2016</v>
      </c>
      <c r="F32" s="356">
        <v>900</v>
      </c>
      <c r="G32" s="356">
        <v>90001</v>
      </c>
      <c r="H32" s="356">
        <v>6050</v>
      </c>
      <c r="I32" s="366">
        <f>Q32</f>
        <v>350000</v>
      </c>
      <c r="J32" s="491">
        <v>50000</v>
      </c>
      <c r="K32" s="491"/>
      <c r="L32" s="486">
        <f t="shared" si="6"/>
        <v>50000</v>
      </c>
      <c r="M32" s="367"/>
      <c r="N32" s="368"/>
      <c r="O32" s="367">
        <v>20000</v>
      </c>
      <c r="P32" s="367">
        <v>280000</v>
      </c>
      <c r="Q32" s="188">
        <f>SUM(L32:P32)</f>
        <v>350000</v>
      </c>
    </row>
    <row r="33" spans="1:17" s="19" customFormat="1" ht="19.5" customHeight="1">
      <c r="A33" s="627" t="s">
        <v>113</v>
      </c>
      <c r="B33" s="631" t="s">
        <v>146</v>
      </c>
      <c r="C33" s="635" t="s">
        <v>147</v>
      </c>
      <c r="D33" s="638" t="s">
        <v>233</v>
      </c>
      <c r="E33" s="638"/>
      <c r="F33" s="638" t="s">
        <v>148</v>
      </c>
      <c r="G33" s="638"/>
      <c r="H33" s="638"/>
      <c r="I33" s="640" t="s">
        <v>149</v>
      </c>
      <c r="J33" s="645" t="s">
        <v>319</v>
      </c>
      <c r="K33" s="645"/>
      <c r="L33" s="645"/>
      <c r="M33" s="645"/>
      <c r="N33" s="645"/>
      <c r="O33" s="645"/>
      <c r="P33" s="645"/>
      <c r="Q33" s="618" t="s">
        <v>150</v>
      </c>
    </row>
    <row r="34" spans="1:17" s="19" customFormat="1" ht="11.25" customHeight="1">
      <c r="A34" s="628"/>
      <c r="B34" s="632"/>
      <c r="C34" s="636"/>
      <c r="D34" s="639"/>
      <c r="E34" s="639"/>
      <c r="F34" s="639"/>
      <c r="G34" s="639"/>
      <c r="H34" s="639"/>
      <c r="I34" s="625"/>
      <c r="J34" s="622">
        <v>2012</v>
      </c>
      <c r="K34" s="623"/>
      <c r="L34" s="623"/>
      <c r="M34" s="624">
        <v>2013</v>
      </c>
      <c r="N34" s="624">
        <v>2014</v>
      </c>
      <c r="O34" s="624">
        <v>2015</v>
      </c>
      <c r="P34" s="624">
        <v>2016</v>
      </c>
      <c r="Q34" s="619"/>
    </row>
    <row r="35" spans="1:17" s="19" customFormat="1" ht="9.75" customHeight="1">
      <c r="A35" s="629"/>
      <c r="B35" s="633"/>
      <c r="C35" s="637"/>
      <c r="D35" s="624" t="s">
        <v>151</v>
      </c>
      <c r="E35" s="624" t="s">
        <v>152</v>
      </c>
      <c r="F35" s="642" t="s">
        <v>153</v>
      </c>
      <c r="G35" s="642" t="s">
        <v>154</v>
      </c>
      <c r="H35" s="642" t="s">
        <v>155</v>
      </c>
      <c r="I35" s="641"/>
      <c r="J35" s="622"/>
      <c r="K35" s="623"/>
      <c r="L35" s="623"/>
      <c r="M35" s="625"/>
      <c r="N35" s="625"/>
      <c r="O35" s="625"/>
      <c r="P35" s="625"/>
      <c r="Q35" s="620"/>
    </row>
    <row r="36" spans="1:17" s="19" customFormat="1" ht="20.25" customHeight="1" thickBot="1">
      <c r="A36" s="630"/>
      <c r="B36" s="634"/>
      <c r="C36" s="634"/>
      <c r="D36" s="634"/>
      <c r="E36" s="634"/>
      <c r="F36" s="634"/>
      <c r="G36" s="634"/>
      <c r="H36" s="634"/>
      <c r="I36" s="634"/>
      <c r="J36" s="484" t="s">
        <v>316</v>
      </c>
      <c r="K36" s="484" t="s">
        <v>317</v>
      </c>
      <c r="L36" s="484" t="s">
        <v>318</v>
      </c>
      <c r="M36" s="626"/>
      <c r="N36" s="626"/>
      <c r="O36" s="626"/>
      <c r="P36" s="626"/>
      <c r="Q36" s="621"/>
    </row>
    <row r="37" spans="1:17" s="19" customFormat="1" ht="47.25" customHeight="1">
      <c r="A37" s="355" t="s">
        <v>271</v>
      </c>
      <c r="B37" s="372" t="s">
        <v>374</v>
      </c>
      <c r="C37" s="501" t="s">
        <v>281</v>
      </c>
      <c r="D37" s="356">
        <v>2012</v>
      </c>
      <c r="E37" s="356">
        <v>2016</v>
      </c>
      <c r="F37" s="356">
        <v>900</v>
      </c>
      <c r="G37" s="356">
        <v>90001</v>
      </c>
      <c r="H37" s="356">
        <v>6050</v>
      </c>
      <c r="I37" s="366">
        <f>Q37</f>
        <v>350000</v>
      </c>
      <c r="J37" s="491">
        <v>50000</v>
      </c>
      <c r="K37" s="491"/>
      <c r="L37" s="486">
        <f t="shared" si="6"/>
        <v>50000</v>
      </c>
      <c r="M37" s="367"/>
      <c r="N37" s="368"/>
      <c r="O37" s="367">
        <v>20000</v>
      </c>
      <c r="P37" s="367">
        <v>280000</v>
      </c>
      <c r="Q37" s="188">
        <f>SUM(L37:P37)</f>
        <v>350000</v>
      </c>
    </row>
    <row r="38" spans="1:17" s="38" customFormat="1" ht="30.75" customHeight="1">
      <c r="A38" s="387" t="s">
        <v>173</v>
      </c>
      <c r="B38" s="388" t="s">
        <v>174</v>
      </c>
      <c r="C38" s="350" t="s">
        <v>164</v>
      </c>
      <c r="D38" s="350">
        <v>2009</v>
      </c>
      <c r="E38" s="350">
        <v>2015</v>
      </c>
      <c r="F38" s="646" t="s">
        <v>237</v>
      </c>
      <c r="G38" s="646"/>
      <c r="H38" s="646"/>
      <c r="I38" s="190">
        <f aca="true" t="shared" si="8" ref="I38:Q38">SUM(I39:I42,I43:I49)</f>
        <v>14344412</v>
      </c>
      <c r="J38" s="190">
        <f t="shared" si="8"/>
        <v>1783000</v>
      </c>
      <c r="K38" s="190">
        <f t="shared" si="8"/>
        <v>716285</v>
      </c>
      <c r="L38" s="190">
        <f t="shared" si="8"/>
        <v>2499285</v>
      </c>
      <c r="M38" s="190">
        <f t="shared" si="8"/>
        <v>6156351</v>
      </c>
      <c r="N38" s="190">
        <f t="shared" si="8"/>
        <v>2600000</v>
      </c>
      <c r="O38" s="190">
        <f t="shared" si="8"/>
        <v>2800000</v>
      </c>
      <c r="P38" s="190">
        <f t="shared" si="8"/>
        <v>0</v>
      </c>
      <c r="Q38" s="190">
        <f t="shared" si="8"/>
        <v>14055636</v>
      </c>
    </row>
    <row r="39" spans="1:17" s="38" customFormat="1" ht="48" customHeight="1">
      <c r="A39" s="170" t="s">
        <v>175</v>
      </c>
      <c r="B39" s="217" t="s">
        <v>198</v>
      </c>
      <c r="C39" s="378" t="s">
        <v>177</v>
      </c>
      <c r="D39" s="378">
        <v>2012</v>
      </c>
      <c r="E39" s="378">
        <v>2014</v>
      </c>
      <c r="F39" s="378">
        <v>700</v>
      </c>
      <c r="G39" s="378">
        <v>70005</v>
      </c>
      <c r="H39" s="378">
        <v>6050</v>
      </c>
      <c r="I39" s="54">
        <f>L39+M39+N39</f>
        <v>2542000</v>
      </c>
      <c r="J39" s="492">
        <v>97000</v>
      </c>
      <c r="K39" s="492"/>
      <c r="L39" s="486">
        <f t="shared" si="6"/>
        <v>97000</v>
      </c>
      <c r="M39" s="54">
        <v>445000</v>
      </c>
      <c r="N39" s="173">
        <v>2000000</v>
      </c>
      <c r="O39" s="379">
        <v>0</v>
      </c>
      <c r="P39" s="379">
        <v>0</v>
      </c>
      <c r="Q39" s="162">
        <f>SUM(L39:P39)</f>
        <v>2542000</v>
      </c>
    </row>
    <row r="40" spans="1:17" s="38" customFormat="1" ht="42.75" customHeight="1">
      <c r="A40" s="200" t="s">
        <v>178</v>
      </c>
      <c r="B40" s="459" t="s">
        <v>232</v>
      </c>
      <c r="C40" s="469" t="s">
        <v>177</v>
      </c>
      <c r="D40" s="469">
        <v>2010</v>
      </c>
      <c r="E40" s="469">
        <v>2013</v>
      </c>
      <c r="F40" s="174">
        <v>852</v>
      </c>
      <c r="G40" s="174">
        <v>85219</v>
      </c>
      <c r="H40" s="174">
        <v>6050</v>
      </c>
      <c r="I40" s="175">
        <f>L40+M40+70070</f>
        <v>1370070</v>
      </c>
      <c r="J40" s="488">
        <v>800000</v>
      </c>
      <c r="K40" s="488"/>
      <c r="L40" s="486">
        <f t="shared" si="6"/>
        <v>800000</v>
      </c>
      <c r="M40" s="177">
        <v>500000</v>
      </c>
      <c r="N40" s="177"/>
      <c r="O40" s="177"/>
      <c r="P40" s="177"/>
      <c r="Q40" s="162">
        <f>SUM(L40:P40)</f>
        <v>1300000</v>
      </c>
    </row>
    <row r="41" spans="1:17" s="38" customFormat="1" ht="39" customHeight="1">
      <c r="A41" s="170" t="s">
        <v>179</v>
      </c>
      <c r="B41" s="373" t="s">
        <v>254</v>
      </c>
      <c r="C41" s="378" t="s">
        <v>177</v>
      </c>
      <c r="D41" s="378">
        <v>2011</v>
      </c>
      <c r="E41" s="378">
        <v>2012</v>
      </c>
      <c r="F41" s="378">
        <v>900</v>
      </c>
      <c r="G41" s="378">
        <v>90015</v>
      </c>
      <c r="H41" s="378">
        <v>6050</v>
      </c>
      <c r="I41" s="54">
        <f>L41+9645</f>
        <v>151645</v>
      </c>
      <c r="J41" s="492">
        <v>142000</v>
      </c>
      <c r="K41" s="492"/>
      <c r="L41" s="486">
        <f t="shared" si="6"/>
        <v>142000</v>
      </c>
      <c r="M41" s="173"/>
      <c r="N41" s="379">
        <v>0</v>
      </c>
      <c r="O41" s="379">
        <v>0</v>
      </c>
      <c r="P41" s="379">
        <v>0</v>
      </c>
      <c r="Q41" s="162">
        <f>SUM(L41:P41)</f>
        <v>142000</v>
      </c>
    </row>
    <row r="42" spans="1:17" s="38" customFormat="1" ht="44.25" customHeight="1">
      <c r="A42" s="193" t="s">
        <v>181</v>
      </c>
      <c r="B42" s="396" t="s">
        <v>375</v>
      </c>
      <c r="C42" s="171" t="s">
        <v>177</v>
      </c>
      <c r="D42" s="171">
        <v>2012</v>
      </c>
      <c r="E42" s="171">
        <v>2013</v>
      </c>
      <c r="F42" s="171">
        <v>900</v>
      </c>
      <c r="G42" s="171">
        <v>90015</v>
      </c>
      <c r="H42" s="171">
        <v>6050</v>
      </c>
      <c r="I42" s="191">
        <f>Q42</f>
        <v>74379</v>
      </c>
      <c r="J42" s="493">
        <v>9000</v>
      </c>
      <c r="K42" s="493"/>
      <c r="L42" s="486">
        <f t="shared" si="6"/>
        <v>9000</v>
      </c>
      <c r="M42" s="362">
        <v>65379</v>
      </c>
      <c r="N42" s="192">
        <v>0</v>
      </c>
      <c r="O42" s="192">
        <v>0</v>
      </c>
      <c r="P42" s="192">
        <v>0</v>
      </c>
      <c r="Q42" s="162">
        <f>SUM(L42:P42)</f>
        <v>74379</v>
      </c>
    </row>
    <row r="43" spans="1:17" s="38" customFormat="1" ht="41.25" customHeight="1">
      <c r="A43" s="170" t="s">
        <v>234</v>
      </c>
      <c r="B43" s="217" t="s">
        <v>396</v>
      </c>
      <c r="C43" s="378" t="s">
        <v>177</v>
      </c>
      <c r="D43" s="378">
        <v>2012</v>
      </c>
      <c r="E43" s="378">
        <v>2013</v>
      </c>
      <c r="F43" s="378">
        <v>900</v>
      </c>
      <c r="G43" s="378">
        <v>90015</v>
      </c>
      <c r="H43" s="378">
        <v>6050</v>
      </c>
      <c r="I43" s="191">
        <f>Q43</f>
        <v>118958</v>
      </c>
      <c r="J43" s="492">
        <v>10000</v>
      </c>
      <c r="K43" s="492"/>
      <c r="L43" s="492">
        <f aca="true" t="shared" si="9" ref="L43:L54">J43+K43</f>
        <v>10000</v>
      </c>
      <c r="M43" s="173">
        <v>108958</v>
      </c>
      <c r="N43" s="379">
        <v>0</v>
      </c>
      <c r="O43" s="379">
        <v>0</v>
      </c>
      <c r="P43" s="379">
        <v>0</v>
      </c>
      <c r="Q43" s="162">
        <f aca="true" t="shared" si="10" ref="Q43:Q49">SUM(L43:P43)</f>
        <v>118958</v>
      </c>
    </row>
    <row r="44" spans="1:17" s="38" customFormat="1" ht="40.5" customHeight="1">
      <c r="A44" s="170" t="s">
        <v>235</v>
      </c>
      <c r="B44" s="375" t="s">
        <v>376</v>
      </c>
      <c r="C44" s="378" t="s">
        <v>177</v>
      </c>
      <c r="D44" s="378">
        <v>2012</v>
      </c>
      <c r="E44" s="378">
        <v>2013</v>
      </c>
      <c r="F44" s="378">
        <v>900</v>
      </c>
      <c r="G44" s="378">
        <v>90015</v>
      </c>
      <c r="H44" s="378">
        <v>6050</v>
      </c>
      <c r="I44" s="191">
        <f>Q44</f>
        <v>42014</v>
      </c>
      <c r="J44" s="492">
        <v>5000</v>
      </c>
      <c r="K44" s="492"/>
      <c r="L44" s="492">
        <f t="shared" si="9"/>
        <v>5000</v>
      </c>
      <c r="M44" s="173">
        <v>37014</v>
      </c>
      <c r="N44" s="379">
        <v>0</v>
      </c>
      <c r="O44" s="379">
        <v>0</v>
      </c>
      <c r="P44" s="379">
        <v>0</v>
      </c>
      <c r="Q44" s="162">
        <f t="shared" si="10"/>
        <v>42014</v>
      </c>
    </row>
    <row r="45" spans="1:17" s="19" customFormat="1" ht="29.25" customHeight="1">
      <c r="A45" s="170" t="s">
        <v>236</v>
      </c>
      <c r="B45" s="462" t="s">
        <v>176</v>
      </c>
      <c r="C45" s="460" t="s">
        <v>177</v>
      </c>
      <c r="D45" s="356">
        <v>2010</v>
      </c>
      <c r="E45" s="356">
        <v>2014</v>
      </c>
      <c r="F45" s="460">
        <v>921</v>
      </c>
      <c r="G45" s="460">
        <v>92109</v>
      </c>
      <c r="H45" s="460">
        <v>6050</v>
      </c>
      <c r="I45" s="54">
        <f>L45+M45+N45+4880</f>
        <v>1504880</v>
      </c>
      <c r="J45" s="488">
        <v>150000</v>
      </c>
      <c r="K45" s="488"/>
      <c r="L45" s="492">
        <f t="shared" si="9"/>
        <v>150000</v>
      </c>
      <c r="M45" s="176">
        <v>1000000</v>
      </c>
      <c r="N45" s="176">
        <v>350000</v>
      </c>
      <c r="O45" s="177"/>
      <c r="P45" s="177"/>
      <c r="Q45" s="162">
        <f t="shared" si="10"/>
        <v>1500000</v>
      </c>
    </row>
    <row r="46" spans="1:17" s="19" customFormat="1" ht="31.5" customHeight="1">
      <c r="A46" s="170" t="s">
        <v>246</v>
      </c>
      <c r="B46" s="55" t="s">
        <v>389</v>
      </c>
      <c r="C46" s="460" t="s">
        <v>284</v>
      </c>
      <c r="D46" s="460">
        <v>2010</v>
      </c>
      <c r="E46" s="460">
        <v>2012</v>
      </c>
      <c r="F46" s="460">
        <v>921</v>
      </c>
      <c r="G46" s="460">
        <v>92109</v>
      </c>
      <c r="H46" s="460">
        <v>6050</v>
      </c>
      <c r="I46" s="54">
        <f>L46+M46+N46+6541</f>
        <v>42826</v>
      </c>
      <c r="J46" s="488">
        <v>420000</v>
      </c>
      <c r="K46" s="488">
        <v>-383715</v>
      </c>
      <c r="L46" s="492">
        <f t="shared" si="9"/>
        <v>36285</v>
      </c>
      <c r="M46" s="176"/>
      <c r="N46" s="176"/>
      <c r="O46" s="177"/>
      <c r="P46" s="177"/>
      <c r="Q46" s="162">
        <f t="shared" si="10"/>
        <v>36285</v>
      </c>
    </row>
    <row r="47" spans="1:17" s="19" customFormat="1" ht="33.75" customHeight="1">
      <c r="A47" s="170" t="s">
        <v>247</v>
      </c>
      <c r="B47" s="55" t="s">
        <v>180</v>
      </c>
      <c r="C47" s="460" t="s">
        <v>177</v>
      </c>
      <c r="D47" s="460">
        <v>2009</v>
      </c>
      <c r="E47" s="460">
        <v>2015</v>
      </c>
      <c r="F47" s="460">
        <v>921</v>
      </c>
      <c r="G47" s="460">
        <v>92109</v>
      </c>
      <c r="H47" s="460">
        <v>6050</v>
      </c>
      <c r="I47" s="54">
        <f>O47+132980</f>
        <v>2932980</v>
      </c>
      <c r="J47" s="493"/>
      <c r="K47" s="493"/>
      <c r="L47" s="492">
        <f t="shared" si="9"/>
        <v>0</v>
      </c>
      <c r="M47" s="191"/>
      <c r="N47" s="192"/>
      <c r="O47" s="362">
        <v>2800000</v>
      </c>
      <c r="P47" s="192"/>
      <c r="Q47" s="162">
        <f t="shared" si="10"/>
        <v>2800000</v>
      </c>
    </row>
    <row r="48" spans="1:17" s="19" customFormat="1" ht="33.75" customHeight="1">
      <c r="A48" s="170" t="s">
        <v>255</v>
      </c>
      <c r="B48" s="55" t="s">
        <v>182</v>
      </c>
      <c r="C48" s="527" t="s">
        <v>177</v>
      </c>
      <c r="D48" s="527">
        <v>2010</v>
      </c>
      <c r="E48" s="527">
        <v>2014</v>
      </c>
      <c r="F48" s="527">
        <v>921</v>
      </c>
      <c r="G48" s="527">
        <v>92109</v>
      </c>
      <c r="H48" s="527">
        <v>6050</v>
      </c>
      <c r="I48" s="54">
        <f>L48+M48+N48+64660</f>
        <v>1964660</v>
      </c>
      <c r="J48" s="488">
        <v>150000</v>
      </c>
      <c r="K48" s="488"/>
      <c r="L48" s="492">
        <f>J48+K48</f>
        <v>150000</v>
      </c>
      <c r="M48" s="176">
        <v>1500000</v>
      </c>
      <c r="N48" s="176">
        <v>250000</v>
      </c>
      <c r="O48" s="177"/>
      <c r="P48" s="177"/>
      <c r="Q48" s="162">
        <f>SUM(L48:P48)</f>
        <v>1900000</v>
      </c>
    </row>
    <row r="49" spans="1:17" s="19" customFormat="1" ht="25.5" customHeight="1">
      <c r="A49" s="170" t="s">
        <v>377</v>
      </c>
      <c r="B49" s="55" t="s">
        <v>379</v>
      </c>
      <c r="C49" s="527" t="s">
        <v>378</v>
      </c>
      <c r="D49" s="460">
        <v>2012</v>
      </c>
      <c r="E49" s="460">
        <v>2013</v>
      </c>
      <c r="F49" s="460">
        <v>921</v>
      </c>
      <c r="G49" s="460">
        <v>92109</v>
      </c>
      <c r="H49" s="460">
        <v>6050</v>
      </c>
      <c r="I49" s="54">
        <f>L49+M49+N49</f>
        <v>3600000</v>
      </c>
      <c r="J49" s="488"/>
      <c r="K49" s="488">
        <v>1100000</v>
      </c>
      <c r="L49" s="492">
        <f t="shared" si="9"/>
        <v>1100000</v>
      </c>
      <c r="M49" s="176">
        <v>2500000</v>
      </c>
      <c r="N49" s="177"/>
      <c r="O49" s="177"/>
      <c r="P49" s="177"/>
      <c r="Q49" s="162">
        <f t="shared" si="10"/>
        <v>3600000</v>
      </c>
    </row>
    <row r="50" spans="1:17" s="38" customFormat="1" ht="27" customHeight="1">
      <c r="A50" s="384" t="s">
        <v>183</v>
      </c>
      <c r="B50" s="385" t="s">
        <v>184</v>
      </c>
      <c r="C50" s="377" t="s">
        <v>164</v>
      </c>
      <c r="D50" s="377">
        <v>2006</v>
      </c>
      <c r="E50" s="377">
        <v>2015</v>
      </c>
      <c r="F50" s="377"/>
      <c r="G50" s="377"/>
      <c r="H50" s="377"/>
      <c r="I50" s="190">
        <f aca="true" t="shared" si="11" ref="I50:P50">I51+I64+I65</f>
        <v>98061085</v>
      </c>
      <c r="J50" s="386">
        <f t="shared" si="11"/>
        <v>27287000</v>
      </c>
      <c r="K50" s="386">
        <f t="shared" si="11"/>
        <v>0</v>
      </c>
      <c r="L50" s="386">
        <f t="shared" si="9"/>
        <v>27287000</v>
      </c>
      <c r="M50" s="386">
        <f t="shared" si="11"/>
        <v>26700000</v>
      </c>
      <c r="N50" s="386">
        <f t="shared" si="11"/>
        <v>11400000</v>
      </c>
      <c r="O50" s="386">
        <f t="shared" si="11"/>
        <v>29000000</v>
      </c>
      <c r="P50" s="386">
        <f t="shared" si="11"/>
        <v>0</v>
      </c>
      <c r="Q50" s="386">
        <f>Q51+Q64+Q65</f>
        <v>94387000</v>
      </c>
    </row>
    <row r="51" spans="1:17" s="19" customFormat="1" ht="48" customHeight="1" thickBot="1">
      <c r="A51" s="193" t="s">
        <v>185</v>
      </c>
      <c r="B51" s="189" t="s">
        <v>229</v>
      </c>
      <c r="C51" s="381" t="s">
        <v>167</v>
      </c>
      <c r="D51" s="382">
        <v>2006</v>
      </c>
      <c r="E51" s="382">
        <v>2015</v>
      </c>
      <c r="F51" s="650" t="s">
        <v>168</v>
      </c>
      <c r="G51" s="650"/>
      <c r="H51" s="650"/>
      <c r="I51" s="383">
        <f>SUM(I52:I58)</f>
        <v>95771024</v>
      </c>
      <c r="J51" s="522">
        <f aca="true" t="shared" si="12" ref="J51:Q51">SUM(J52:J58)</f>
        <v>26760000</v>
      </c>
      <c r="K51" s="522"/>
      <c r="L51" s="522">
        <f t="shared" si="9"/>
        <v>26760000</v>
      </c>
      <c r="M51" s="383">
        <f t="shared" si="12"/>
        <v>25000000</v>
      </c>
      <c r="N51" s="383">
        <f t="shared" si="12"/>
        <v>11400000</v>
      </c>
      <c r="O51" s="383">
        <f t="shared" si="12"/>
        <v>29000000</v>
      </c>
      <c r="P51" s="383">
        <f t="shared" si="12"/>
        <v>0</v>
      </c>
      <c r="Q51" s="383">
        <f t="shared" si="12"/>
        <v>92160000</v>
      </c>
    </row>
    <row r="52" spans="1:17" s="19" customFormat="1" ht="25.5" customHeight="1">
      <c r="A52" s="194"/>
      <c r="B52" s="343" t="s">
        <v>186</v>
      </c>
      <c r="C52" s="195"/>
      <c r="D52" s="195"/>
      <c r="E52" s="195"/>
      <c r="F52" s="195">
        <v>801</v>
      </c>
      <c r="G52" s="195">
        <v>80101</v>
      </c>
      <c r="H52" s="195">
        <v>6050</v>
      </c>
      <c r="I52" s="196">
        <f>L52+M52+3611024</f>
        <v>24811024</v>
      </c>
      <c r="J52" s="523">
        <v>13760000</v>
      </c>
      <c r="K52" s="523"/>
      <c r="L52" s="523">
        <f t="shared" si="9"/>
        <v>13760000</v>
      </c>
      <c r="M52" s="197">
        <v>7440000</v>
      </c>
      <c r="N52" s="198"/>
      <c r="O52" s="198"/>
      <c r="P52" s="198"/>
      <c r="Q52" s="199">
        <f>SUM(L52:P52)</f>
        <v>21200000</v>
      </c>
    </row>
    <row r="53" spans="1:17" s="19" customFormat="1" ht="25.5" customHeight="1">
      <c r="A53" s="200"/>
      <c r="B53" s="344" t="s">
        <v>312</v>
      </c>
      <c r="C53" s="179"/>
      <c r="D53" s="179"/>
      <c r="E53" s="179"/>
      <c r="F53" s="179"/>
      <c r="G53" s="179"/>
      <c r="H53" s="179">
        <v>6058</v>
      </c>
      <c r="I53" s="180">
        <f>L53</f>
        <v>10000000</v>
      </c>
      <c r="J53" s="489">
        <v>10000000</v>
      </c>
      <c r="K53" s="489"/>
      <c r="L53" s="489">
        <f t="shared" si="9"/>
        <v>10000000</v>
      </c>
      <c r="M53" s="181"/>
      <c r="N53" s="182"/>
      <c r="O53" s="182"/>
      <c r="P53" s="182"/>
      <c r="Q53" s="183">
        <f aca="true" t="shared" si="13" ref="Q53:Q65">SUM(L53:P53)</f>
        <v>10000000</v>
      </c>
    </row>
    <row r="54" spans="1:17" s="19" customFormat="1" ht="25.5" customHeight="1" thickBot="1">
      <c r="A54" s="201"/>
      <c r="B54" s="202"/>
      <c r="C54" s="203"/>
      <c r="D54" s="203"/>
      <c r="E54" s="203"/>
      <c r="F54" s="203"/>
      <c r="G54" s="203"/>
      <c r="H54" s="203">
        <v>6059</v>
      </c>
      <c r="I54" s="204">
        <f>L54+M54</f>
        <v>20560000</v>
      </c>
      <c r="J54" s="524">
        <v>3000000</v>
      </c>
      <c r="K54" s="524"/>
      <c r="L54" s="524">
        <f t="shared" si="9"/>
        <v>3000000</v>
      </c>
      <c r="M54" s="205">
        <v>17560000</v>
      </c>
      <c r="N54" s="206"/>
      <c r="O54" s="206"/>
      <c r="P54" s="206"/>
      <c r="Q54" s="207">
        <f t="shared" si="13"/>
        <v>20560000</v>
      </c>
    </row>
    <row r="55" spans="1:17" s="19" customFormat="1" ht="20.25" customHeight="1">
      <c r="A55" s="194"/>
      <c r="B55" s="461" t="s">
        <v>187</v>
      </c>
      <c r="C55" s="208"/>
      <c r="D55" s="208"/>
      <c r="E55" s="208"/>
      <c r="F55" s="208"/>
      <c r="G55" s="208"/>
      <c r="H55" s="208">
        <v>6058</v>
      </c>
      <c r="I55" s="209">
        <f>SUM(J55:O55)</f>
        <v>4000000</v>
      </c>
      <c r="J55" s="525"/>
      <c r="K55" s="525"/>
      <c r="L55" s="525"/>
      <c r="M55" s="209"/>
      <c r="N55" s="208"/>
      <c r="O55" s="209">
        <v>4000000</v>
      </c>
      <c r="P55" s="210"/>
      <c r="Q55" s="199">
        <f t="shared" si="13"/>
        <v>4000000</v>
      </c>
    </row>
    <row r="56" spans="1:17" s="19" customFormat="1" ht="25.5" customHeight="1" thickBot="1">
      <c r="A56" s="200"/>
      <c r="B56" s="461" t="s">
        <v>285</v>
      </c>
      <c r="C56" s="211"/>
      <c r="D56" s="211"/>
      <c r="E56" s="211"/>
      <c r="F56" s="211"/>
      <c r="G56" s="211"/>
      <c r="H56" s="211">
        <v>6059</v>
      </c>
      <c r="I56" s="212">
        <f>SUM(J56:O56)</f>
        <v>16400000</v>
      </c>
      <c r="J56" s="526"/>
      <c r="K56" s="526"/>
      <c r="L56" s="526"/>
      <c r="M56" s="212"/>
      <c r="N56" s="212">
        <v>6400000</v>
      </c>
      <c r="O56" s="212">
        <v>10000000</v>
      </c>
      <c r="P56" s="213"/>
      <c r="Q56" s="207">
        <f t="shared" si="13"/>
        <v>16400000</v>
      </c>
    </row>
    <row r="57" spans="1:17" s="19" customFormat="1" ht="25.5" customHeight="1">
      <c r="A57" s="194"/>
      <c r="B57" s="472" t="s">
        <v>188</v>
      </c>
      <c r="C57" s="195"/>
      <c r="D57" s="195"/>
      <c r="E57" s="195"/>
      <c r="F57" s="195"/>
      <c r="G57" s="195"/>
      <c r="H57" s="195">
        <v>6058</v>
      </c>
      <c r="I57" s="196">
        <f>SUM(J57:O57)</f>
        <v>5000000</v>
      </c>
      <c r="J57" s="523"/>
      <c r="K57" s="523"/>
      <c r="L57" s="523"/>
      <c r="M57" s="196"/>
      <c r="N57" s="196"/>
      <c r="O57" s="196">
        <v>5000000</v>
      </c>
      <c r="P57" s="198"/>
      <c r="Q57" s="199">
        <f t="shared" si="13"/>
        <v>5000000</v>
      </c>
    </row>
    <row r="58" spans="1:17" s="19" customFormat="1" ht="24.75" customHeight="1" thickBot="1">
      <c r="A58" s="201"/>
      <c r="B58" s="202" t="s">
        <v>286</v>
      </c>
      <c r="C58" s="203"/>
      <c r="D58" s="203"/>
      <c r="E58" s="203"/>
      <c r="F58" s="203"/>
      <c r="G58" s="203"/>
      <c r="H58" s="203">
        <v>6059</v>
      </c>
      <c r="I58" s="204">
        <f>SUM(J58:O58)</f>
        <v>15000000</v>
      </c>
      <c r="J58" s="524"/>
      <c r="K58" s="524"/>
      <c r="L58" s="524"/>
      <c r="M58" s="204"/>
      <c r="N58" s="204">
        <v>5000000</v>
      </c>
      <c r="O58" s="204">
        <v>10000000</v>
      </c>
      <c r="P58" s="206"/>
      <c r="Q58" s="207">
        <f t="shared" si="13"/>
        <v>15000000</v>
      </c>
    </row>
    <row r="59" spans="1:17" s="19" customFormat="1" ht="24.75" customHeight="1">
      <c r="A59" s="397"/>
      <c r="B59" s="528"/>
      <c r="C59" s="398"/>
      <c r="D59" s="398"/>
      <c r="E59" s="398"/>
      <c r="F59" s="398"/>
      <c r="G59" s="398"/>
      <c r="H59" s="398"/>
      <c r="I59" s="399"/>
      <c r="J59" s="529"/>
      <c r="K59" s="529"/>
      <c r="L59" s="529"/>
      <c r="M59" s="399"/>
      <c r="N59" s="399"/>
      <c r="O59" s="399"/>
      <c r="P59" s="530"/>
      <c r="Q59" s="400"/>
    </row>
    <row r="60" spans="1:17" s="19" customFormat="1" ht="17.25" customHeight="1">
      <c r="A60" s="652" t="s">
        <v>113</v>
      </c>
      <c r="B60" s="653" t="s">
        <v>146</v>
      </c>
      <c r="C60" s="655" t="s">
        <v>147</v>
      </c>
      <c r="D60" s="654" t="s">
        <v>233</v>
      </c>
      <c r="E60" s="654"/>
      <c r="F60" s="654" t="s">
        <v>148</v>
      </c>
      <c r="G60" s="654"/>
      <c r="H60" s="654"/>
      <c r="I60" s="624" t="s">
        <v>149</v>
      </c>
      <c r="J60" s="651" t="s">
        <v>319</v>
      </c>
      <c r="K60" s="651"/>
      <c r="L60" s="651"/>
      <c r="M60" s="651"/>
      <c r="N60" s="651"/>
      <c r="O60" s="651"/>
      <c r="P60" s="651"/>
      <c r="Q60" s="656" t="s">
        <v>150</v>
      </c>
    </row>
    <row r="61" spans="1:17" s="19" customFormat="1" ht="3" customHeight="1">
      <c r="A61" s="628"/>
      <c r="B61" s="632"/>
      <c r="C61" s="636"/>
      <c r="D61" s="639"/>
      <c r="E61" s="639"/>
      <c r="F61" s="639"/>
      <c r="G61" s="639"/>
      <c r="H61" s="639"/>
      <c r="I61" s="625"/>
      <c r="J61" s="659">
        <v>2012</v>
      </c>
      <c r="K61" s="660"/>
      <c r="L61" s="660"/>
      <c r="M61" s="624">
        <v>2013</v>
      </c>
      <c r="N61" s="624">
        <v>2014</v>
      </c>
      <c r="O61" s="624">
        <v>2015</v>
      </c>
      <c r="P61" s="624">
        <v>2016</v>
      </c>
      <c r="Q61" s="619"/>
    </row>
    <row r="62" spans="1:17" s="19" customFormat="1" ht="9" customHeight="1">
      <c r="A62" s="629"/>
      <c r="B62" s="633"/>
      <c r="C62" s="637"/>
      <c r="D62" s="624" t="s">
        <v>151</v>
      </c>
      <c r="E62" s="624" t="s">
        <v>152</v>
      </c>
      <c r="F62" s="642" t="s">
        <v>153</v>
      </c>
      <c r="G62" s="642" t="s">
        <v>154</v>
      </c>
      <c r="H62" s="642" t="s">
        <v>155</v>
      </c>
      <c r="I62" s="641"/>
      <c r="J62" s="659"/>
      <c r="K62" s="660"/>
      <c r="L62" s="660"/>
      <c r="M62" s="625"/>
      <c r="N62" s="625"/>
      <c r="O62" s="625"/>
      <c r="P62" s="625"/>
      <c r="Q62" s="620"/>
    </row>
    <row r="63" spans="1:17" s="19" customFormat="1" ht="17.25" customHeight="1" thickBot="1">
      <c r="A63" s="630"/>
      <c r="B63" s="634"/>
      <c r="C63" s="634"/>
      <c r="D63" s="657"/>
      <c r="E63" s="657"/>
      <c r="F63" s="658"/>
      <c r="G63" s="658"/>
      <c r="H63" s="658"/>
      <c r="I63" s="634"/>
      <c r="J63" s="484" t="s">
        <v>316</v>
      </c>
      <c r="K63" s="484" t="s">
        <v>317</v>
      </c>
      <c r="L63" s="484" t="s">
        <v>318</v>
      </c>
      <c r="M63" s="626"/>
      <c r="N63" s="626"/>
      <c r="O63" s="626"/>
      <c r="P63" s="626"/>
      <c r="Q63" s="621"/>
    </row>
    <row r="64" spans="1:17" s="19" customFormat="1" ht="37.5" customHeight="1">
      <c r="A64" s="170" t="s">
        <v>238</v>
      </c>
      <c r="B64" s="217" t="s">
        <v>296</v>
      </c>
      <c r="C64" s="171" t="s">
        <v>167</v>
      </c>
      <c r="D64" s="361">
        <v>2011</v>
      </c>
      <c r="E64" s="361">
        <v>2012</v>
      </c>
      <c r="F64" s="361">
        <v>801</v>
      </c>
      <c r="G64" s="361">
        <v>80101</v>
      </c>
      <c r="H64" s="361">
        <v>6050</v>
      </c>
      <c r="I64" s="54">
        <f>L64+861</f>
        <v>220861</v>
      </c>
      <c r="J64" s="492">
        <v>220000</v>
      </c>
      <c r="K64" s="492"/>
      <c r="L64" s="492">
        <f>J64+K64</f>
        <v>220000</v>
      </c>
      <c r="M64" s="173"/>
      <c r="N64" s="360">
        <v>0</v>
      </c>
      <c r="O64" s="360">
        <v>0</v>
      </c>
      <c r="P64" s="360">
        <v>0</v>
      </c>
      <c r="Q64" s="514">
        <f t="shared" si="13"/>
        <v>220000</v>
      </c>
    </row>
    <row r="65" spans="1:17" s="19" customFormat="1" ht="30" customHeight="1">
      <c r="A65" s="170" t="s">
        <v>239</v>
      </c>
      <c r="B65" s="217" t="s">
        <v>199</v>
      </c>
      <c r="C65" s="517" t="s">
        <v>167</v>
      </c>
      <c r="D65" s="517">
        <v>2010</v>
      </c>
      <c r="E65" s="517">
        <v>2013</v>
      </c>
      <c r="F65" s="517">
        <v>801</v>
      </c>
      <c r="G65" s="517">
        <v>80104</v>
      </c>
      <c r="H65" s="517">
        <v>6050</v>
      </c>
      <c r="I65" s="54">
        <f>L65+M65+62200</f>
        <v>2069200</v>
      </c>
      <c r="J65" s="492">
        <v>307000</v>
      </c>
      <c r="K65" s="492"/>
      <c r="L65" s="492">
        <f>J65+K65</f>
        <v>307000</v>
      </c>
      <c r="M65" s="173">
        <v>1700000</v>
      </c>
      <c r="N65" s="516">
        <v>0</v>
      </c>
      <c r="O65" s="516">
        <v>0</v>
      </c>
      <c r="P65" s="516">
        <v>0</v>
      </c>
      <c r="Q65" s="162">
        <f t="shared" si="13"/>
        <v>2007000</v>
      </c>
    </row>
    <row r="66" spans="1:23" s="42" customFormat="1" ht="33.75" customHeight="1">
      <c r="A66" s="163" t="s">
        <v>117</v>
      </c>
      <c r="B66" s="164" t="s">
        <v>189</v>
      </c>
      <c r="C66" s="363"/>
      <c r="D66" s="363" t="s">
        <v>82</v>
      </c>
      <c r="E66" s="363" t="s">
        <v>82</v>
      </c>
      <c r="F66" s="363"/>
      <c r="G66" s="363"/>
      <c r="H66" s="363"/>
      <c r="I66" s="166">
        <f aca="true" t="shared" si="14" ref="I66:N66">I67</f>
        <v>23172525</v>
      </c>
      <c r="J66" s="166">
        <f t="shared" si="14"/>
        <v>8800837</v>
      </c>
      <c r="K66" s="166">
        <f t="shared" si="14"/>
        <v>461610</v>
      </c>
      <c r="L66" s="166">
        <f t="shared" si="14"/>
        <v>9262447</v>
      </c>
      <c r="M66" s="166">
        <f t="shared" si="14"/>
        <v>9014540</v>
      </c>
      <c r="N66" s="473">
        <f t="shared" si="14"/>
        <v>1866000</v>
      </c>
      <c r="O66" s="364">
        <v>0</v>
      </c>
      <c r="P66" s="364">
        <v>0</v>
      </c>
      <c r="Q66" s="365">
        <f>SUM(L66:P66)</f>
        <v>20142987</v>
      </c>
      <c r="R66" s="19"/>
      <c r="S66" s="19"/>
      <c r="T66" s="19"/>
      <c r="U66" s="19"/>
      <c r="V66" s="19"/>
      <c r="W66" s="19"/>
    </row>
    <row r="67" spans="1:17" s="44" customFormat="1" ht="18.75" customHeight="1">
      <c r="A67" s="214"/>
      <c r="B67" s="215" t="s">
        <v>158</v>
      </c>
      <c r="C67" s="216"/>
      <c r="D67" s="216" t="s">
        <v>82</v>
      </c>
      <c r="E67" s="216" t="s">
        <v>82</v>
      </c>
      <c r="F67" s="216"/>
      <c r="G67" s="216"/>
      <c r="H67" s="216"/>
      <c r="I67" s="173">
        <f>I68</f>
        <v>23172525</v>
      </c>
      <c r="J67" s="486">
        <f aca="true" t="shared" si="15" ref="J67:Q67">J68</f>
        <v>8800837</v>
      </c>
      <c r="K67" s="486">
        <f t="shared" si="15"/>
        <v>461610</v>
      </c>
      <c r="L67" s="486">
        <f t="shared" si="15"/>
        <v>9262447</v>
      </c>
      <c r="M67" s="173">
        <f t="shared" si="15"/>
        <v>9014540</v>
      </c>
      <c r="N67" s="173">
        <f t="shared" si="15"/>
        <v>1866000</v>
      </c>
      <c r="O67" s="173">
        <f t="shared" si="15"/>
        <v>86000</v>
      </c>
      <c r="P67" s="173">
        <f t="shared" si="15"/>
        <v>650000</v>
      </c>
      <c r="Q67" s="173">
        <f t="shared" si="15"/>
        <v>22135937</v>
      </c>
    </row>
    <row r="68" spans="1:17" s="44" customFormat="1" ht="19.5" customHeight="1">
      <c r="A68" s="393" t="s">
        <v>190</v>
      </c>
      <c r="B68" s="394" t="s">
        <v>191</v>
      </c>
      <c r="C68" s="395" t="s">
        <v>164</v>
      </c>
      <c r="D68" s="377">
        <v>2009</v>
      </c>
      <c r="E68" s="377">
        <v>2016</v>
      </c>
      <c r="F68" s="386"/>
      <c r="G68" s="386"/>
      <c r="H68" s="386"/>
      <c r="I68" s="386">
        <f>SUM(I69:I89)</f>
        <v>23172525</v>
      </c>
      <c r="J68" s="386">
        <f aca="true" t="shared" si="16" ref="J68:P68">SUM(J69:J89)</f>
        <v>8800837</v>
      </c>
      <c r="K68" s="386">
        <f t="shared" si="16"/>
        <v>461610</v>
      </c>
      <c r="L68" s="386">
        <f t="shared" si="16"/>
        <v>9262447</v>
      </c>
      <c r="M68" s="386">
        <f t="shared" si="16"/>
        <v>9014540</v>
      </c>
      <c r="N68" s="386">
        <f t="shared" si="16"/>
        <v>1866000</v>
      </c>
      <c r="O68" s="386">
        <f>SUM(O69:O89)</f>
        <v>86000</v>
      </c>
      <c r="P68" s="386">
        <f t="shared" si="16"/>
        <v>650000</v>
      </c>
      <c r="Q68" s="386">
        <f>SUM(Q69:Q84,Q85:Q91)</f>
        <v>22135937</v>
      </c>
    </row>
    <row r="69" spans="1:17" s="44" customFormat="1" ht="37.5" customHeight="1">
      <c r="A69" s="463" t="s">
        <v>192</v>
      </c>
      <c r="B69" s="464" t="s">
        <v>331</v>
      </c>
      <c r="C69" s="378" t="s">
        <v>177</v>
      </c>
      <c r="D69" s="378">
        <v>2012</v>
      </c>
      <c r="E69" s="378">
        <v>2013</v>
      </c>
      <c r="F69" s="54">
        <v>600</v>
      </c>
      <c r="G69" s="54" t="s">
        <v>193</v>
      </c>
      <c r="H69" s="54">
        <v>6050</v>
      </c>
      <c r="I69" s="54">
        <f>L69+M69</f>
        <v>85000</v>
      </c>
      <c r="J69" s="492">
        <v>10000</v>
      </c>
      <c r="K69" s="492"/>
      <c r="L69" s="492">
        <f>J69+K69</f>
        <v>10000</v>
      </c>
      <c r="M69" s="173">
        <v>75000</v>
      </c>
      <c r="N69" s="173"/>
      <c r="O69" s="173"/>
      <c r="P69" s="173"/>
      <c r="Q69" s="162">
        <f>SUM(L69:P69)</f>
        <v>85000</v>
      </c>
    </row>
    <row r="70" spans="1:17" s="44" customFormat="1" ht="37.5" customHeight="1">
      <c r="A70" s="463" t="s">
        <v>194</v>
      </c>
      <c r="B70" s="464" t="s">
        <v>380</v>
      </c>
      <c r="C70" s="509" t="s">
        <v>177</v>
      </c>
      <c r="D70" s="509">
        <v>2012</v>
      </c>
      <c r="E70" s="509">
        <v>2013</v>
      </c>
      <c r="F70" s="54">
        <v>600</v>
      </c>
      <c r="G70" s="54" t="s">
        <v>193</v>
      </c>
      <c r="H70" s="54">
        <v>6050</v>
      </c>
      <c r="I70" s="54">
        <f>Q70</f>
        <v>145018</v>
      </c>
      <c r="J70" s="492">
        <v>45018</v>
      </c>
      <c r="K70" s="492"/>
      <c r="L70" s="492">
        <f>J70+K70</f>
        <v>45018</v>
      </c>
      <c r="M70" s="173">
        <v>100000</v>
      </c>
      <c r="N70" s="173"/>
      <c r="O70" s="173"/>
      <c r="P70" s="173"/>
      <c r="Q70" s="162">
        <f>SUM(L70:P70)</f>
        <v>145018</v>
      </c>
    </row>
    <row r="71" spans="1:17" s="44" customFormat="1" ht="24.75" customHeight="1">
      <c r="A71" s="463" t="s">
        <v>195</v>
      </c>
      <c r="B71" s="465" t="s">
        <v>333</v>
      </c>
      <c r="C71" s="378" t="s">
        <v>177</v>
      </c>
      <c r="D71" s="378">
        <v>2009</v>
      </c>
      <c r="E71" s="378">
        <v>2013</v>
      </c>
      <c r="F71" s="54">
        <v>600</v>
      </c>
      <c r="G71" s="54" t="s">
        <v>193</v>
      </c>
      <c r="H71" s="54">
        <v>6050</v>
      </c>
      <c r="I71" s="54">
        <f>L71+M71+541582</f>
        <v>8736782</v>
      </c>
      <c r="J71" s="492">
        <v>3500000</v>
      </c>
      <c r="K71" s="492"/>
      <c r="L71" s="492">
        <f aca="true" t="shared" si="17" ref="L71:L87">J71+K71</f>
        <v>3500000</v>
      </c>
      <c r="M71" s="54">
        <v>4695200</v>
      </c>
      <c r="N71" s="173"/>
      <c r="O71" s="173"/>
      <c r="P71" s="173"/>
      <c r="Q71" s="162">
        <f aca="true" t="shared" si="18" ref="Q71:Q87">SUM(L71:P71)</f>
        <v>8195200</v>
      </c>
    </row>
    <row r="72" spans="1:17" s="44" customFormat="1" ht="24.75" customHeight="1">
      <c r="A72" s="463" t="s">
        <v>197</v>
      </c>
      <c r="B72" s="466" t="s">
        <v>351</v>
      </c>
      <c r="C72" s="378" t="s">
        <v>177</v>
      </c>
      <c r="D72" s="378">
        <v>2009</v>
      </c>
      <c r="E72" s="378">
        <v>2014</v>
      </c>
      <c r="F72" s="54">
        <v>600</v>
      </c>
      <c r="G72" s="54" t="s">
        <v>193</v>
      </c>
      <c r="H72" s="54">
        <v>6050</v>
      </c>
      <c r="I72" s="54">
        <f>L72+M72+N72+150269</f>
        <v>1060269</v>
      </c>
      <c r="J72" s="492">
        <v>10000</v>
      </c>
      <c r="K72" s="492"/>
      <c r="L72" s="492">
        <f t="shared" si="17"/>
        <v>10000</v>
      </c>
      <c r="M72" s="173">
        <v>200000</v>
      </c>
      <c r="N72" s="173">
        <v>700000</v>
      </c>
      <c r="O72" s="173"/>
      <c r="P72" s="173"/>
      <c r="Q72" s="162">
        <f t="shared" si="18"/>
        <v>910000</v>
      </c>
    </row>
    <row r="73" spans="1:17" s="44" customFormat="1" ht="39" customHeight="1">
      <c r="A73" s="463" t="s">
        <v>257</v>
      </c>
      <c r="B73" s="372" t="s">
        <v>256</v>
      </c>
      <c r="C73" s="378" t="s">
        <v>177</v>
      </c>
      <c r="D73" s="378">
        <v>2009</v>
      </c>
      <c r="E73" s="378">
        <v>2012</v>
      </c>
      <c r="F73" s="54">
        <v>600</v>
      </c>
      <c r="G73" s="54" t="s">
        <v>193</v>
      </c>
      <c r="H73" s="54">
        <v>6050</v>
      </c>
      <c r="I73" s="54">
        <f>L73+22814</f>
        <v>397814</v>
      </c>
      <c r="J73" s="492">
        <v>375000</v>
      </c>
      <c r="K73" s="492"/>
      <c r="L73" s="492">
        <f t="shared" si="17"/>
        <v>375000</v>
      </c>
      <c r="M73" s="54"/>
      <c r="N73" s="173"/>
      <c r="O73" s="173"/>
      <c r="P73" s="173"/>
      <c r="Q73" s="162">
        <f t="shared" si="18"/>
        <v>375000</v>
      </c>
    </row>
    <row r="74" spans="1:17" s="44" customFormat="1" ht="25.5" customHeight="1">
      <c r="A74" s="463" t="s">
        <v>248</v>
      </c>
      <c r="B74" s="373" t="s">
        <v>288</v>
      </c>
      <c r="C74" s="460" t="s">
        <v>177</v>
      </c>
      <c r="D74" s="460">
        <v>2012</v>
      </c>
      <c r="E74" s="460">
        <v>2013</v>
      </c>
      <c r="F74" s="54">
        <v>600</v>
      </c>
      <c r="G74" s="54">
        <v>60016</v>
      </c>
      <c r="H74" s="54">
        <v>6050</v>
      </c>
      <c r="I74" s="54">
        <f>L74+M74</f>
        <v>110000</v>
      </c>
      <c r="J74" s="492">
        <v>10000</v>
      </c>
      <c r="K74" s="492"/>
      <c r="L74" s="492">
        <f t="shared" si="17"/>
        <v>10000</v>
      </c>
      <c r="M74" s="54">
        <v>100000</v>
      </c>
      <c r="N74" s="173"/>
      <c r="O74" s="173"/>
      <c r="P74" s="173"/>
      <c r="Q74" s="162">
        <f t="shared" si="18"/>
        <v>110000</v>
      </c>
    </row>
    <row r="75" spans="1:17" s="44" customFormat="1" ht="24" customHeight="1">
      <c r="A75" s="463" t="s">
        <v>249</v>
      </c>
      <c r="B75" s="532" t="s">
        <v>387</v>
      </c>
      <c r="C75" s="378" t="s">
        <v>177</v>
      </c>
      <c r="D75" s="378">
        <v>2012</v>
      </c>
      <c r="E75" s="378">
        <v>2016</v>
      </c>
      <c r="F75" s="54">
        <v>600</v>
      </c>
      <c r="G75" s="54">
        <v>60016</v>
      </c>
      <c r="H75" s="54">
        <v>6050</v>
      </c>
      <c r="I75" s="54">
        <f>L75+O75+P75</f>
        <v>230000</v>
      </c>
      <c r="J75" s="492">
        <v>60000</v>
      </c>
      <c r="K75" s="492"/>
      <c r="L75" s="492">
        <f t="shared" si="17"/>
        <v>60000</v>
      </c>
      <c r="M75" s="173"/>
      <c r="N75" s="173"/>
      <c r="O75" s="173">
        <v>20000</v>
      </c>
      <c r="P75" s="173">
        <v>150000</v>
      </c>
      <c r="Q75" s="162">
        <f t="shared" si="18"/>
        <v>230000</v>
      </c>
    </row>
    <row r="76" spans="1:17" s="44" customFormat="1" ht="25.5" customHeight="1">
      <c r="A76" s="463" t="s">
        <v>258</v>
      </c>
      <c r="B76" s="372" t="s">
        <v>313</v>
      </c>
      <c r="C76" s="378" t="s">
        <v>177</v>
      </c>
      <c r="D76" s="378">
        <v>2011</v>
      </c>
      <c r="E76" s="378">
        <v>2013</v>
      </c>
      <c r="F76" s="54">
        <v>600</v>
      </c>
      <c r="G76" s="54" t="s">
        <v>193</v>
      </c>
      <c r="H76" s="54">
        <v>6050</v>
      </c>
      <c r="I76" s="54">
        <f>Q76+67650</f>
        <v>1237650</v>
      </c>
      <c r="J76" s="492">
        <v>387000</v>
      </c>
      <c r="K76" s="492">
        <v>404000</v>
      </c>
      <c r="L76" s="492">
        <f t="shared" si="17"/>
        <v>791000</v>
      </c>
      <c r="M76" s="54">
        <v>379000</v>
      </c>
      <c r="N76" s="173"/>
      <c r="O76" s="173"/>
      <c r="P76" s="173"/>
      <c r="Q76" s="162">
        <f t="shared" si="18"/>
        <v>1170000</v>
      </c>
    </row>
    <row r="77" spans="1:17" s="44" customFormat="1" ht="25.5" customHeight="1">
      <c r="A77" s="463" t="s">
        <v>259</v>
      </c>
      <c r="B77" s="372" t="s">
        <v>300</v>
      </c>
      <c r="C77" s="460" t="s">
        <v>177</v>
      </c>
      <c r="D77" s="460">
        <v>2012</v>
      </c>
      <c r="E77" s="460">
        <v>2013</v>
      </c>
      <c r="F77" s="54">
        <v>600</v>
      </c>
      <c r="G77" s="54" t="s">
        <v>193</v>
      </c>
      <c r="H77" s="54">
        <v>6050</v>
      </c>
      <c r="I77" s="54">
        <f>L77+M77</f>
        <v>905000</v>
      </c>
      <c r="J77" s="492">
        <v>300000</v>
      </c>
      <c r="K77" s="493"/>
      <c r="L77" s="492">
        <f t="shared" si="17"/>
        <v>300000</v>
      </c>
      <c r="M77" s="191">
        <v>605000</v>
      </c>
      <c r="N77" s="362"/>
      <c r="O77" s="362"/>
      <c r="P77" s="362"/>
      <c r="Q77" s="162">
        <f t="shared" si="18"/>
        <v>905000</v>
      </c>
    </row>
    <row r="78" spans="1:17" s="44" customFormat="1" ht="24.75" customHeight="1">
      <c r="A78" s="463" t="s">
        <v>260</v>
      </c>
      <c r="B78" s="372" t="s">
        <v>301</v>
      </c>
      <c r="C78" s="460" t="s">
        <v>177</v>
      </c>
      <c r="D78" s="460">
        <v>2012</v>
      </c>
      <c r="E78" s="460">
        <v>2013</v>
      </c>
      <c r="F78" s="54">
        <v>600</v>
      </c>
      <c r="G78" s="54" t="s">
        <v>193</v>
      </c>
      <c r="H78" s="54">
        <v>6050</v>
      </c>
      <c r="I78" s="54">
        <f>L78+M78</f>
        <v>840000</v>
      </c>
      <c r="J78" s="492">
        <v>300000</v>
      </c>
      <c r="K78" s="493"/>
      <c r="L78" s="492">
        <f t="shared" si="17"/>
        <v>300000</v>
      </c>
      <c r="M78" s="191">
        <v>540000</v>
      </c>
      <c r="N78" s="362"/>
      <c r="O78" s="362"/>
      <c r="P78" s="362"/>
      <c r="Q78" s="162">
        <f t="shared" si="18"/>
        <v>840000</v>
      </c>
    </row>
    <row r="79" spans="1:17" s="44" customFormat="1" ht="25.5" customHeight="1">
      <c r="A79" s="463" t="s">
        <v>287</v>
      </c>
      <c r="B79" s="372" t="s">
        <v>302</v>
      </c>
      <c r="C79" s="460" t="s">
        <v>177</v>
      </c>
      <c r="D79" s="460">
        <v>2012</v>
      </c>
      <c r="E79" s="460">
        <v>2013</v>
      </c>
      <c r="F79" s="54">
        <v>600</v>
      </c>
      <c r="G79" s="54" t="s">
        <v>193</v>
      </c>
      <c r="H79" s="54">
        <v>6050</v>
      </c>
      <c r="I79" s="54">
        <f>L79+M79</f>
        <v>710000</v>
      </c>
      <c r="J79" s="492">
        <v>600000</v>
      </c>
      <c r="K79" s="493">
        <v>-404000</v>
      </c>
      <c r="L79" s="492">
        <f t="shared" si="17"/>
        <v>196000</v>
      </c>
      <c r="M79" s="191">
        <v>514000</v>
      </c>
      <c r="N79" s="362"/>
      <c r="O79" s="362"/>
      <c r="P79" s="362"/>
      <c r="Q79" s="162">
        <f t="shared" si="18"/>
        <v>710000</v>
      </c>
    </row>
    <row r="80" spans="1:17" s="44" customFormat="1" ht="25.5" customHeight="1">
      <c r="A80" s="463" t="s">
        <v>289</v>
      </c>
      <c r="B80" s="372" t="s">
        <v>307</v>
      </c>
      <c r="C80" s="460" t="s">
        <v>177</v>
      </c>
      <c r="D80" s="460">
        <v>2012</v>
      </c>
      <c r="E80" s="460">
        <v>2014</v>
      </c>
      <c r="F80" s="54">
        <v>600</v>
      </c>
      <c r="G80" s="54" t="s">
        <v>193</v>
      </c>
      <c r="H80" s="54">
        <v>6050</v>
      </c>
      <c r="I80" s="54">
        <f>L80+M80+N80</f>
        <v>1765000</v>
      </c>
      <c r="J80" s="492">
        <v>165000</v>
      </c>
      <c r="K80" s="493"/>
      <c r="L80" s="492">
        <f t="shared" si="17"/>
        <v>165000</v>
      </c>
      <c r="M80" s="191">
        <v>600000</v>
      </c>
      <c r="N80" s="362">
        <v>1000000</v>
      </c>
      <c r="O80" s="362"/>
      <c r="P80" s="362"/>
      <c r="Q80" s="162">
        <f t="shared" si="18"/>
        <v>1765000</v>
      </c>
    </row>
    <row r="81" spans="1:17" s="44" customFormat="1" ht="33.75" customHeight="1">
      <c r="A81" s="463" t="s">
        <v>290</v>
      </c>
      <c r="B81" s="372" t="s">
        <v>283</v>
      </c>
      <c r="C81" s="458" t="s">
        <v>177</v>
      </c>
      <c r="D81" s="458">
        <v>2011</v>
      </c>
      <c r="E81" s="458">
        <v>2012</v>
      </c>
      <c r="F81" s="54">
        <v>600</v>
      </c>
      <c r="G81" s="54">
        <v>60016</v>
      </c>
      <c r="H81" s="54">
        <v>6050</v>
      </c>
      <c r="I81" s="54">
        <f>L81+M81+1070071</f>
        <v>2283971</v>
      </c>
      <c r="J81" s="493">
        <v>1213900</v>
      </c>
      <c r="K81" s="493"/>
      <c r="L81" s="492">
        <f t="shared" si="17"/>
        <v>1213900</v>
      </c>
      <c r="M81" s="191"/>
      <c r="N81" s="362"/>
      <c r="O81" s="362"/>
      <c r="P81" s="362"/>
      <c r="Q81" s="162">
        <f t="shared" si="18"/>
        <v>1213900</v>
      </c>
    </row>
    <row r="82" spans="1:17" s="44" customFormat="1" ht="22.5" customHeight="1">
      <c r="A82" s="463" t="s">
        <v>291</v>
      </c>
      <c r="B82" s="483" t="s">
        <v>381</v>
      </c>
      <c r="C82" s="482" t="s">
        <v>177</v>
      </c>
      <c r="D82" s="482">
        <v>2012</v>
      </c>
      <c r="E82" s="482">
        <v>2016</v>
      </c>
      <c r="F82" s="54">
        <v>600</v>
      </c>
      <c r="G82" s="54">
        <v>60016</v>
      </c>
      <c r="H82" s="54">
        <v>6050</v>
      </c>
      <c r="I82" s="54">
        <f>L82+P82+O82</f>
        <v>275000</v>
      </c>
      <c r="J82" s="493">
        <v>65000</v>
      </c>
      <c r="K82" s="493"/>
      <c r="L82" s="492">
        <f t="shared" si="17"/>
        <v>65000</v>
      </c>
      <c r="M82" s="191"/>
      <c r="N82" s="362"/>
      <c r="O82" s="362">
        <v>10000</v>
      </c>
      <c r="P82" s="362">
        <v>200000</v>
      </c>
      <c r="Q82" s="162">
        <f t="shared" si="18"/>
        <v>275000</v>
      </c>
    </row>
    <row r="83" spans="1:17" s="44" customFormat="1" ht="33.75" customHeight="1">
      <c r="A83" s="463" t="s">
        <v>292</v>
      </c>
      <c r="B83" s="483" t="s">
        <v>332</v>
      </c>
      <c r="C83" s="512" t="s">
        <v>177</v>
      </c>
      <c r="D83" s="512">
        <v>2012</v>
      </c>
      <c r="E83" s="512">
        <v>2013</v>
      </c>
      <c r="F83" s="54">
        <v>600</v>
      </c>
      <c r="G83" s="54">
        <v>60016</v>
      </c>
      <c r="H83" s="54">
        <v>6050</v>
      </c>
      <c r="I83" s="54">
        <f>L83+M83</f>
        <v>71000</v>
      </c>
      <c r="J83" s="493">
        <v>1000</v>
      </c>
      <c r="K83" s="493"/>
      <c r="L83" s="492">
        <f>J83+K83</f>
        <v>1000</v>
      </c>
      <c r="M83" s="191">
        <v>70000</v>
      </c>
      <c r="N83" s="362"/>
      <c r="O83" s="362"/>
      <c r="P83" s="362"/>
      <c r="Q83" s="162">
        <f>SUM(L83:P83)</f>
        <v>71000</v>
      </c>
    </row>
    <row r="84" spans="1:17" s="44" customFormat="1" ht="23.25" customHeight="1">
      <c r="A84" s="463" t="s">
        <v>293</v>
      </c>
      <c r="B84" s="465" t="s">
        <v>270</v>
      </c>
      <c r="C84" s="460" t="s">
        <v>177</v>
      </c>
      <c r="D84" s="460">
        <v>2011</v>
      </c>
      <c r="E84" s="460">
        <v>2012</v>
      </c>
      <c r="F84" s="54">
        <v>600</v>
      </c>
      <c r="G84" s="54" t="s">
        <v>193</v>
      </c>
      <c r="H84" s="54">
        <v>6050</v>
      </c>
      <c r="I84" s="54">
        <f>L84+M84+212845</f>
        <v>914375</v>
      </c>
      <c r="J84" s="492">
        <v>701530</v>
      </c>
      <c r="K84" s="492"/>
      <c r="L84" s="492">
        <f t="shared" si="17"/>
        <v>701530</v>
      </c>
      <c r="M84" s="54"/>
      <c r="N84" s="54"/>
      <c r="O84" s="54"/>
      <c r="P84" s="54"/>
      <c r="Q84" s="162">
        <f t="shared" si="18"/>
        <v>701530</v>
      </c>
    </row>
    <row r="85" spans="1:17" s="44" customFormat="1" ht="33.75" customHeight="1">
      <c r="A85" s="463" t="s">
        <v>314</v>
      </c>
      <c r="B85" s="467" t="s">
        <v>382</v>
      </c>
      <c r="C85" s="460" t="s">
        <v>177</v>
      </c>
      <c r="D85" s="460">
        <v>2012</v>
      </c>
      <c r="E85" s="460">
        <v>2016</v>
      </c>
      <c r="F85" s="54">
        <v>600</v>
      </c>
      <c r="G85" s="54" t="s">
        <v>193</v>
      </c>
      <c r="H85" s="54">
        <v>6050</v>
      </c>
      <c r="I85" s="54">
        <f>Q85</f>
        <v>410000</v>
      </c>
      <c r="J85" s="492">
        <v>100000</v>
      </c>
      <c r="K85" s="492"/>
      <c r="L85" s="492">
        <f t="shared" si="17"/>
        <v>100000</v>
      </c>
      <c r="M85" s="54"/>
      <c r="N85" s="173"/>
      <c r="O85" s="173">
        <v>10000</v>
      </c>
      <c r="P85" s="173">
        <v>300000</v>
      </c>
      <c r="Q85" s="162">
        <f t="shared" si="18"/>
        <v>410000</v>
      </c>
    </row>
    <row r="86" spans="1:17" s="44" customFormat="1" ht="28.5" customHeight="1">
      <c r="A86" s="463" t="s">
        <v>334</v>
      </c>
      <c r="B86" s="535" t="s">
        <v>392</v>
      </c>
      <c r="C86" s="527" t="s">
        <v>177</v>
      </c>
      <c r="D86" s="527">
        <v>2012</v>
      </c>
      <c r="E86" s="527">
        <v>2013</v>
      </c>
      <c r="F86" s="54">
        <v>600</v>
      </c>
      <c r="G86" s="54">
        <v>60016</v>
      </c>
      <c r="H86" s="54">
        <v>6050</v>
      </c>
      <c r="I86" s="54">
        <f>L86+M86</f>
        <v>553000</v>
      </c>
      <c r="J86" s="493"/>
      <c r="K86" s="493">
        <v>453000</v>
      </c>
      <c r="L86" s="492">
        <f>J86+K86</f>
        <v>453000</v>
      </c>
      <c r="M86" s="534">
        <v>100000</v>
      </c>
      <c r="N86" s="362"/>
      <c r="O86" s="362"/>
      <c r="P86" s="362"/>
      <c r="Q86" s="162">
        <f>SUM(L86:P86)</f>
        <v>553000</v>
      </c>
    </row>
    <row r="87" spans="1:17" s="44" customFormat="1" ht="33.75" customHeight="1">
      <c r="A87" s="463" t="s">
        <v>335</v>
      </c>
      <c r="B87" s="372" t="s">
        <v>272</v>
      </c>
      <c r="C87" s="404" t="s">
        <v>177</v>
      </c>
      <c r="D87" s="404">
        <v>2011</v>
      </c>
      <c r="E87" s="404">
        <v>2012</v>
      </c>
      <c r="F87" s="54">
        <v>600</v>
      </c>
      <c r="G87" s="54" t="s">
        <v>193</v>
      </c>
      <c r="H87" s="54">
        <v>6050</v>
      </c>
      <c r="I87" s="54">
        <f>L87+M87+218957</f>
        <v>1087171</v>
      </c>
      <c r="J87" s="492">
        <v>868214</v>
      </c>
      <c r="K87" s="492"/>
      <c r="L87" s="492">
        <f t="shared" si="17"/>
        <v>868214</v>
      </c>
      <c r="M87" s="173"/>
      <c r="N87" s="173"/>
      <c r="O87" s="173"/>
      <c r="P87" s="173"/>
      <c r="Q87" s="162">
        <f t="shared" si="18"/>
        <v>868214</v>
      </c>
    </row>
    <row r="88" spans="1:17" s="44" customFormat="1" ht="33.75" customHeight="1">
      <c r="A88" s="463" t="s">
        <v>383</v>
      </c>
      <c r="B88" s="465" t="s">
        <v>267</v>
      </c>
      <c r="C88" s="527" t="s">
        <v>177</v>
      </c>
      <c r="D88" s="527">
        <v>2011</v>
      </c>
      <c r="E88" s="527">
        <v>2012</v>
      </c>
      <c r="F88" s="54">
        <v>600</v>
      </c>
      <c r="G88" s="54" t="s">
        <v>193</v>
      </c>
      <c r="H88" s="54">
        <v>6050</v>
      </c>
      <c r="I88" s="54">
        <f>L88+M88+9350</f>
        <v>98525</v>
      </c>
      <c r="J88" s="492">
        <v>89175</v>
      </c>
      <c r="K88" s="492"/>
      <c r="L88" s="492">
        <f>J88+K88</f>
        <v>89175</v>
      </c>
      <c r="M88" s="54"/>
      <c r="N88" s="54"/>
      <c r="O88" s="54"/>
      <c r="P88" s="54"/>
      <c r="Q88" s="162">
        <f>SUM(L88:P88)</f>
        <v>89175</v>
      </c>
    </row>
    <row r="89" spans="1:17" s="44" customFormat="1" ht="18.75" customHeight="1">
      <c r="A89" s="663" t="s">
        <v>393</v>
      </c>
      <c r="B89" s="666" t="s">
        <v>388</v>
      </c>
      <c r="C89" s="669" t="s">
        <v>177</v>
      </c>
      <c r="D89" s="669">
        <v>2012</v>
      </c>
      <c r="E89" s="669">
        <v>2015</v>
      </c>
      <c r="F89" s="670" t="s">
        <v>168</v>
      </c>
      <c r="G89" s="671"/>
      <c r="H89" s="672"/>
      <c r="I89" s="173">
        <f>SUM(I90:I91)</f>
        <v>1256950</v>
      </c>
      <c r="J89" s="486">
        <f aca="true" t="shared" si="19" ref="J89:Q89">SUM(J90:J91)</f>
        <v>0</v>
      </c>
      <c r="K89" s="486">
        <f t="shared" si="19"/>
        <v>8610</v>
      </c>
      <c r="L89" s="486">
        <f t="shared" si="19"/>
        <v>8610</v>
      </c>
      <c r="M89" s="173">
        <f t="shared" si="19"/>
        <v>1036340</v>
      </c>
      <c r="N89" s="173">
        <f t="shared" si="19"/>
        <v>166000</v>
      </c>
      <c r="O89" s="173">
        <f t="shared" si="19"/>
        <v>46000</v>
      </c>
      <c r="P89" s="173">
        <f t="shared" si="19"/>
        <v>0</v>
      </c>
      <c r="Q89" s="173">
        <f t="shared" si="19"/>
        <v>1256950</v>
      </c>
    </row>
    <row r="90" spans="1:17" s="44" customFormat="1" ht="16.5" customHeight="1">
      <c r="A90" s="664"/>
      <c r="B90" s="667"/>
      <c r="C90" s="667"/>
      <c r="D90" s="667"/>
      <c r="E90" s="667"/>
      <c r="F90" s="661">
        <v>720</v>
      </c>
      <c r="G90" s="661">
        <v>72095</v>
      </c>
      <c r="H90" s="54">
        <v>6057</v>
      </c>
      <c r="I90" s="54">
        <f>Q90</f>
        <v>1068407</v>
      </c>
      <c r="J90" s="492"/>
      <c r="K90" s="492">
        <v>7318</v>
      </c>
      <c r="L90" s="492">
        <f>J90+K90</f>
        <v>7318</v>
      </c>
      <c r="M90" s="54">
        <v>880889</v>
      </c>
      <c r="N90" s="54">
        <v>141100</v>
      </c>
      <c r="O90" s="54">
        <v>39100</v>
      </c>
      <c r="P90" s="54"/>
      <c r="Q90" s="162">
        <f>SUM(L90:P90)</f>
        <v>1068407</v>
      </c>
    </row>
    <row r="91" spans="1:17" s="44" customFormat="1" ht="17.25" customHeight="1">
      <c r="A91" s="665"/>
      <c r="B91" s="668"/>
      <c r="C91" s="668"/>
      <c r="D91" s="668"/>
      <c r="E91" s="668"/>
      <c r="F91" s="662"/>
      <c r="G91" s="662"/>
      <c r="H91" s="54">
        <v>6059</v>
      </c>
      <c r="I91" s="54">
        <f>Q91</f>
        <v>188543</v>
      </c>
      <c r="J91" s="492"/>
      <c r="K91" s="492">
        <v>1292</v>
      </c>
      <c r="L91" s="492">
        <f>J91+K91</f>
        <v>1292</v>
      </c>
      <c r="M91" s="54">
        <v>155451</v>
      </c>
      <c r="N91" s="54">
        <v>24900</v>
      </c>
      <c r="O91" s="54">
        <v>6900</v>
      </c>
      <c r="P91" s="54"/>
      <c r="Q91" s="162">
        <f>SUM(L91:P91)</f>
        <v>188543</v>
      </c>
    </row>
    <row r="92" spans="1:17" s="44" customFormat="1" ht="16.5" customHeight="1">
      <c r="A92" s="652" t="s">
        <v>113</v>
      </c>
      <c r="B92" s="653" t="s">
        <v>146</v>
      </c>
      <c r="C92" s="655" t="s">
        <v>147</v>
      </c>
      <c r="D92" s="654" t="s">
        <v>233</v>
      </c>
      <c r="E92" s="654"/>
      <c r="F92" s="654" t="s">
        <v>148</v>
      </c>
      <c r="G92" s="654"/>
      <c r="H92" s="654"/>
      <c r="I92" s="624" t="s">
        <v>149</v>
      </c>
      <c r="J92" s="651" t="s">
        <v>319</v>
      </c>
      <c r="K92" s="651"/>
      <c r="L92" s="651"/>
      <c r="M92" s="651"/>
      <c r="N92" s="651"/>
      <c r="O92" s="651"/>
      <c r="P92" s="651"/>
      <c r="Q92" s="656" t="s">
        <v>150</v>
      </c>
    </row>
    <row r="93" spans="1:17" s="44" customFormat="1" ht="9" customHeight="1">
      <c r="A93" s="628"/>
      <c r="B93" s="632"/>
      <c r="C93" s="636"/>
      <c r="D93" s="639"/>
      <c r="E93" s="639"/>
      <c r="F93" s="639"/>
      <c r="G93" s="639"/>
      <c r="H93" s="639"/>
      <c r="I93" s="625"/>
      <c r="J93" s="622">
        <v>2012</v>
      </c>
      <c r="K93" s="623"/>
      <c r="L93" s="623"/>
      <c r="M93" s="624">
        <v>2013</v>
      </c>
      <c r="N93" s="624">
        <v>2014</v>
      </c>
      <c r="O93" s="624">
        <v>2015</v>
      </c>
      <c r="P93" s="624">
        <v>2016</v>
      </c>
      <c r="Q93" s="619"/>
    </row>
    <row r="94" spans="1:17" s="44" customFormat="1" ht="6" customHeight="1">
      <c r="A94" s="629"/>
      <c r="B94" s="633"/>
      <c r="C94" s="637"/>
      <c r="D94" s="624" t="s">
        <v>151</v>
      </c>
      <c r="E94" s="624" t="s">
        <v>152</v>
      </c>
      <c r="F94" s="642" t="s">
        <v>153</v>
      </c>
      <c r="G94" s="642" t="s">
        <v>154</v>
      </c>
      <c r="H94" s="642" t="s">
        <v>155</v>
      </c>
      <c r="I94" s="641"/>
      <c r="J94" s="622"/>
      <c r="K94" s="623"/>
      <c r="L94" s="623"/>
      <c r="M94" s="625"/>
      <c r="N94" s="625"/>
      <c r="O94" s="625"/>
      <c r="P94" s="625"/>
      <c r="Q94" s="620"/>
    </row>
    <row r="95" spans="1:17" s="44" customFormat="1" ht="24" customHeight="1" thickBot="1">
      <c r="A95" s="630"/>
      <c r="B95" s="634"/>
      <c r="C95" s="634"/>
      <c r="D95" s="634"/>
      <c r="E95" s="634"/>
      <c r="F95" s="634"/>
      <c r="G95" s="634"/>
      <c r="H95" s="634"/>
      <c r="I95" s="634"/>
      <c r="J95" s="484" t="s">
        <v>316</v>
      </c>
      <c r="K95" s="484" t="s">
        <v>317</v>
      </c>
      <c r="L95" s="484" t="s">
        <v>318</v>
      </c>
      <c r="M95" s="626"/>
      <c r="N95" s="626"/>
      <c r="O95" s="626"/>
      <c r="P95" s="626"/>
      <c r="Q95" s="621"/>
    </row>
    <row r="96" spans="1:17" ht="71.25" customHeight="1">
      <c r="A96" s="346" t="s">
        <v>200</v>
      </c>
      <c r="B96" s="358" t="s">
        <v>201</v>
      </c>
      <c r="C96" s="347"/>
      <c r="D96" s="348" t="s">
        <v>82</v>
      </c>
      <c r="E96" s="347" t="s">
        <v>82</v>
      </c>
      <c r="F96" s="347"/>
      <c r="G96" s="347"/>
      <c r="H96" s="347"/>
      <c r="I96" s="345">
        <f aca="true" t="shared" si="20" ref="I96:P96">I97</f>
        <v>28039058</v>
      </c>
      <c r="J96" s="345">
        <f t="shared" si="20"/>
        <v>10526920</v>
      </c>
      <c r="K96" s="345">
        <f t="shared" si="20"/>
        <v>62500</v>
      </c>
      <c r="L96" s="345">
        <f t="shared" si="20"/>
        <v>10589420</v>
      </c>
      <c r="M96" s="345">
        <f t="shared" si="20"/>
        <v>5092114</v>
      </c>
      <c r="N96" s="345">
        <f t="shared" si="20"/>
        <v>4663714</v>
      </c>
      <c r="O96" s="345">
        <f t="shared" si="20"/>
        <v>2455310</v>
      </c>
      <c r="P96" s="345">
        <f t="shared" si="20"/>
        <v>2388490</v>
      </c>
      <c r="Q96" s="349">
        <f>SUM(L96:P96)</f>
        <v>25189048</v>
      </c>
    </row>
    <row r="97" spans="1:17" s="37" customFormat="1" ht="25.5" customHeight="1">
      <c r="A97" s="159"/>
      <c r="B97" s="374" t="s">
        <v>157</v>
      </c>
      <c r="C97" s="403"/>
      <c r="D97" s="402" t="s">
        <v>82</v>
      </c>
      <c r="E97" s="218" t="s">
        <v>82</v>
      </c>
      <c r="F97" s="218"/>
      <c r="G97" s="218"/>
      <c r="H97" s="218"/>
      <c r="I97" s="421">
        <f>SUM(I98:I148)</f>
        <v>28039058</v>
      </c>
      <c r="J97" s="421">
        <f>SUM(J98:J148)</f>
        <v>10526920</v>
      </c>
      <c r="K97" s="421">
        <f aca="true" t="shared" si="21" ref="K97:P97">SUM(K98:K148)</f>
        <v>62500</v>
      </c>
      <c r="L97" s="421">
        <f t="shared" si="21"/>
        <v>10589420</v>
      </c>
      <c r="M97" s="421">
        <f t="shared" si="21"/>
        <v>5092114</v>
      </c>
      <c r="N97" s="421">
        <f t="shared" si="21"/>
        <v>4663714</v>
      </c>
      <c r="O97" s="421">
        <f t="shared" si="21"/>
        <v>2455310</v>
      </c>
      <c r="P97" s="421">
        <f t="shared" si="21"/>
        <v>2388490</v>
      </c>
      <c r="Q97" s="421">
        <f>SUM(Q98:Q148)</f>
        <v>25189048</v>
      </c>
    </row>
    <row r="98" spans="1:17" ht="27" customHeight="1">
      <c r="A98" s="135" t="s">
        <v>160</v>
      </c>
      <c r="B98" s="376" t="s">
        <v>323</v>
      </c>
      <c r="C98" s="404" t="s">
        <v>177</v>
      </c>
      <c r="D98" s="402">
        <v>2012</v>
      </c>
      <c r="E98" s="402">
        <v>2016</v>
      </c>
      <c r="F98" s="402">
        <v>600</v>
      </c>
      <c r="G98" s="402">
        <v>60004</v>
      </c>
      <c r="H98" s="402">
        <v>4300</v>
      </c>
      <c r="I98" s="49">
        <v>3000000</v>
      </c>
      <c r="J98" s="49">
        <v>600000</v>
      </c>
      <c r="K98" s="49"/>
      <c r="L98" s="49">
        <f>J98+K98</f>
        <v>600000</v>
      </c>
      <c r="M98" s="49">
        <v>600000</v>
      </c>
      <c r="N98" s="49">
        <v>600000</v>
      </c>
      <c r="O98" s="49">
        <v>600000</v>
      </c>
      <c r="P98" s="49">
        <v>600000</v>
      </c>
      <c r="Q98" s="162">
        <f>SUM(L98:P98)</f>
        <v>3000000</v>
      </c>
    </row>
    <row r="99" spans="1:17" ht="25.5" customHeight="1">
      <c r="A99" s="135" t="s">
        <v>117</v>
      </c>
      <c r="B99" s="376" t="s">
        <v>324</v>
      </c>
      <c r="C99" s="404" t="s">
        <v>177</v>
      </c>
      <c r="D99" s="402">
        <v>2012</v>
      </c>
      <c r="E99" s="402">
        <v>2016</v>
      </c>
      <c r="F99" s="402">
        <v>600</v>
      </c>
      <c r="G99" s="402">
        <v>60004</v>
      </c>
      <c r="H99" s="402">
        <v>4300</v>
      </c>
      <c r="I99" s="49">
        <f>Q99</f>
        <v>5850000</v>
      </c>
      <c r="J99" s="49">
        <v>1170000</v>
      </c>
      <c r="K99" s="49"/>
      <c r="L99" s="49">
        <f>J99+K99</f>
        <v>1170000</v>
      </c>
      <c r="M99" s="49">
        <v>1170000</v>
      </c>
      <c r="N99" s="49">
        <v>1170000</v>
      </c>
      <c r="O99" s="49">
        <v>1170000</v>
      </c>
      <c r="P99" s="49">
        <v>1170000</v>
      </c>
      <c r="Q99" s="162">
        <f aca="true" t="shared" si="22" ref="Q99:Q147">SUM(L99:P99)</f>
        <v>5850000</v>
      </c>
    </row>
    <row r="100" spans="1:17" ht="21" customHeight="1">
      <c r="A100" s="135" t="s">
        <v>119</v>
      </c>
      <c r="B100" s="376" t="s">
        <v>261</v>
      </c>
      <c r="C100" s="501" t="s">
        <v>177</v>
      </c>
      <c r="D100" s="500">
        <v>2011</v>
      </c>
      <c r="E100" s="500">
        <v>2012</v>
      </c>
      <c r="F100" s="500">
        <v>600</v>
      </c>
      <c r="G100" s="500">
        <v>60016</v>
      </c>
      <c r="H100" s="500">
        <v>4270</v>
      </c>
      <c r="I100" s="49">
        <v>3200000</v>
      </c>
      <c r="J100" s="49">
        <v>3000000</v>
      </c>
      <c r="K100" s="49"/>
      <c r="L100" s="49">
        <f>J100+K100</f>
        <v>3000000</v>
      </c>
      <c r="M100" s="49">
        <v>0</v>
      </c>
      <c r="N100" s="49">
        <v>0</v>
      </c>
      <c r="O100" s="49">
        <v>0</v>
      </c>
      <c r="P100" s="49">
        <v>0</v>
      </c>
      <c r="Q100" s="162">
        <f>SUM(L100:P100)</f>
        <v>3000000</v>
      </c>
    </row>
    <row r="101" spans="1:17" ht="21" customHeight="1">
      <c r="A101" s="135" t="s">
        <v>121</v>
      </c>
      <c r="B101" s="376" t="s">
        <v>269</v>
      </c>
      <c r="C101" s="501" t="s">
        <v>177</v>
      </c>
      <c r="D101" s="500">
        <v>2011</v>
      </c>
      <c r="E101" s="500">
        <v>2012</v>
      </c>
      <c r="F101" s="500">
        <v>600</v>
      </c>
      <c r="G101" s="500">
        <v>60016</v>
      </c>
      <c r="H101" s="500">
        <v>4300</v>
      </c>
      <c r="I101" s="49">
        <v>600000</v>
      </c>
      <c r="J101" s="49">
        <v>500000</v>
      </c>
      <c r="K101" s="49"/>
      <c r="L101" s="49">
        <f>J101+K101</f>
        <v>500000</v>
      </c>
      <c r="M101" s="49">
        <v>0</v>
      </c>
      <c r="N101" s="49">
        <v>0</v>
      </c>
      <c r="O101" s="49">
        <v>0</v>
      </c>
      <c r="P101" s="49">
        <v>0</v>
      </c>
      <c r="Q101" s="162">
        <f>SUM(L101:P101)</f>
        <v>500000</v>
      </c>
    </row>
    <row r="102" spans="1:17" ht="54.75" customHeight="1">
      <c r="A102" s="135" t="s">
        <v>123</v>
      </c>
      <c r="B102" s="376" t="s">
        <v>241</v>
      </c>
      <c r="C102" s="219" t="s">
        <v>167</v>
      </c>
      <c r="D102" s="475">
        <v>2011</v>
      </c>
      <c r="E102" s="475">
        <v>2012</v>
      </c>
      <c r="F102" s="475">
        <v>600</v>
      </c>
      <c r="G102" s="475">
        <v>60016</v>
      </c>
      <c r="H102" s="475">
        <v>4300</v>
      </c>
      <c r="I102" s="49">
        <v>40626</v>
      </c>
      <c r="J102" s="49">
        <v>20313</v>
      </c>
      <c r="K102" s="49"/>
      <c r="L102" s="49">
        <f aca="true" t="shared" si="23" ref="L102:L147">J102+K102</f>
        <v>20313</v>
      </c>
      <c r="M102" s="49">
        <v>0</v>
      </c>
      <c r="N102" s="49">
        <v>0</v>
      </c>
      <c r="O102" s="49">
        <v>0</v>
      </c>
      <c r="P102" s="49">
        <v>0</v>
      </c>
      <c r="Q102" s="162">
        <f t="shared" si="22"/>
        <v>20313</v>
      </c>
    </row>
    <row r="103" spans="1:17" ht="39" customHeight="1">
      <c r="A103" s="135" t="s">
        <v>125</v>
      </c>
      <c r="B103" s="376" t="s">
        <v>322</v>
      </c>
      <c r="C103" s="219" t="s">
        <v>167</v>
      </c>
      <c r="D103" s="498">
        <v>2012</v>
      </c>
      <c r="E103" s="498">
        <v>2016</v>
      </c>
      <c r="F103" s="498">
        <v>600</v>
      </c>
      <c r="G103" s="498">
        <v>60016</v>
      </c>
      <c r="H103" s="498">
        <v>4400</v>
      </c>
      <c r="I103" s="49">
        <f>Q103</f>
        <v>10753</v>
      </c>
      <c r="J103" s="49">
        <v>1833</v>
      </c>
      <c r="K103" s="49"/>
      <c r="L103" s="49">
        <f>J103+K103</f>
        <v>1833</v>
      </c>
      <c r="M103" s="49">
        <v>1980</v>
      </c>
      <c r="N103" s="49">
        <v>2140</v>
      </c>
      <c r="O103" s="49">
        <v>2310</v>
      </c>
      <c r="P103" s="49">
        <v>2490</v>
      </c>
      <c r="Q103" s="162">
        <f>SUM(L103:P103)</f>
        <v>10753</v>
      </c>
    </row>
    <row r="104" spans="1:17" ht="21" customHeight="1">
      <c r="A104" s="135" t="s">
        <v>127</v>
      </c>
      <c r="B104" s="376" t="s">
        <v>325</v>
      </c>
      <c r="C104" s="503" t="s">
        <v>177</v>
      </c>
      <c r="D104" s="502">
        <v>2012</v>
      </c>
      <c r="E104" s="502">
        <v>2013</v>
      </c>
      <c r="F104" s="502">
        <v>700</v>
      </c>
      <c r="G104" s="502">
        <v>70005</v>
      </c>
      <c r="H104" s="502">
        <v>4300</v>
      </c>
      <c r="I104" s="49">
        <f>Q104</f>
        <v>2583</v>
      </c>
      <c r="J104" s="49">
        <v>1476</v>
      </c>
      <c r="K104" s="49"/>
      <c r="L104" s="49">
        <f>J104+K104</f>
        <v>1476</v>
      </c>
      <c r="M104" s="49">
        <v>1107</v>
      </c>
      <c r="N104" s="49">
        <v>0</v>
      </c>
      <c r="O104" s="49">
        <v>0</v>
      </c>
      <c r="P104" s="49">
        <v>0</v>
      </c>
      <c r="Q104" s="162">
        <f>SUM(L104:P104)</f>
        <v>2583</v>
      </c>
    </row>
    <row r="105" spans="1:17" ht="26.25" customHeight="1">
      <c r="A105" s="135" t="s">
        <v>129</v>
      </c>
      <c r="B105" s="376" t="s">
        <v>240</v>
      </c>
      <c r="C105" s="527" t="s">
        <v>177</v>
      </c>
      <c r="D105" s="531">
        <v>2011</v>
      </c>
      <c r="E105" s="531">
        <v>2012</v>
      </c>
      <c r="F105" s="531">
        <v>700</v>
      </c>
      <c r="G105" s="531">
        <v>70005</v>
      </c>
      <c r="H105" s="531">
        <v>4300</v>
      </c>
      <c r="I105" s="49">
        <v>28306</v>
      </c>
      <c r="J105" s="49">
        <v>14153</v>
      </c>
      <c r="K105" s="49"/>
      <c r="L105" s="49">
        <f>J105+K105</f>
        <v>14153</v>
      </c>
      <c r="M105" s="49">
        <v>0</v>
      </c>
      <c r="N105" s="49">
        <v>0</v>
      </c>
      <c r="O105" s="49">
        <v>0</v>
      </c>
      <c r="P105" s="49">
        <v>0</v>
      </c>
      <c r="Q105" s="162">
        <f>SUM(L105:P105)</f>
        <v>14153</v>
      </c>
    </row>
    <row r="106" spans="1:17" ht="21.75" customHeight="1">
      <c r="A106" s="135" t="s">
        <v>131</v>
      </c>
      <c r="B106" s="376" t="s">
        <v>384</v>
      </c>
      <c r="C106" s="527" t="s">
        <v>281</v>
      </c>
      <c r="D106" s="531">
        <v>2011</v>
      </c>
      <c r="E106" s="531">
        <v>2016</v>
      </c>
      <c r="F106" s="531">
        <v>700</v>
      </c>
      <c r="G106" s="531">
        <v>70005</v>
      </c>
      <c r="H106" s="531">
        <v>4300</v>
      </c>
      <c r="I106" s="49">
        <f>Q106</f>
        <v>150000</v>
      </c>
      <c r="J106" s="49">
        <v>20000</v>
      </c>
      <c r="K106" s="49"/>
      <c r="L106" s="49">
        <f>J106+K106</f>
        <v>20000</v>
      </c>
      <c r="M106" s="49">
        <v>30000</v>
      </c>
      <c r="N106" s="49">
        <v>30000</v>
      </c>
      <c r="O106" s="49">
        <v>30000</v>
      </c>
      <c r="P106" s="49">
        <v>40000</v>
      </c>
      <c r="Q106" s="162">
        <f>SUM(L106:P106)</f>
        <v>150000</v>
      </c>
    </row>
    <row r="107" spans="1:17" ht="41.25" customHeight="1">
      <c r="A107" s="135" t="s">
        <v>134</v>
      </c>
      <c r="B107" s="376" t="s">
        <v>202</v>
      </c>
      <c r="C107" s="404" t="s">
        <v>177</v>
      </c>
      <c r="D107" s="402">
        <v>2011</v>
      </c>
      <c r="E107" s="402">
        <v>2012</v>
      </c>
      <c r="F107" s="402">
        <v>700</v>
      </c>
      <c r="G107" s="402">
        <v>70005</v>
      </c>
      <c r="H107" s="402">
        <v>4400</v>
      </c>
      <c r="I107" s="49">
        <v>44344</v>
      </c>
      <c r="J107" s="49">
        <v>22172</v>
      </c>
      <c r="K107" s="49"/>
      <c r="L107" s="49">
        <f t="shared" si="23"/>
        <v>22172</v>
      </c>
      <c r="M107" s="49">
        <v>0</v>
      </c>
      <c r="N107" s="49">
        <v>0</v>
      </c>
      <c r="O107" s="49">
        <v>0</v>
      </c>
      <c r="P107" s="49">
        <v>0</v>
      </c>
      <c r="Q107" s="162">
        <f t="shared" si="22"/>
        <v>22172</v>
      </c>
    </row>
    <row r="108" spans="1:17" ht="51.75" customHeight="1">
      <c r="A108" s="135" t="s">
        <v>138</v>
      </c>
      <c r="B108" s="376" t="s">
        <v>242</v>
      </c>
      <c r="C108" s="404" t="s">
        <v>206</v>
      </c>
      <c r="D108" s="402">
        <v>2011</v>
      </c>
      <c r="E108" s="402">
        <v>2013</v>
      </c>
      <c r="F108" s="402">
        <v>700</v>
      </c>
      <c r="G108" s="402">
        <v>70005</v>
      </c>
      <c r="H108" s="402">
        <v>4400</v>
      </c>
      <c r="I108" s="49">
        <v>252000</v>
      </c>
      <c r="J108" s="49">
        <v>108000</v>
      </c>
      <c r="K108" s="49"/>
      <c r="L108" s="49">
        <f t="shared" si="23"/>
        <v>108000</v>
      </c>
      <c r="M108" s="49">
        <v>36000</v>
      </c>
      <c r="N108" s="49">
        <v>0</v>
      </c>
      <c r="O108" s="49">
        <v>0</v>
      </c>
      <c r="P108" s="49">
        <v>0</v>
      </c>
      <c r="Q108" s="162">
        <f t="shared" si="22"/>
        <v>144000</v>
      </c>
    </row>
    <row r="109" spans="1:17" ht="39" customHeight="1">
      <c r="A109" s="135" t="s">
        <v>140</v>
      </c>
      <c r="B109" s="376" t="s">
        <v>207</v>
      </c>
      <c r="C109" s="404" t="s">
        <v>206</v>
      </c>
      <c r="D109" s="402">
        <v>2011</v>
      </c>
      <c r="E109" s="402">
        <v>2013</v>
      </c>
      <c r="F109" s="402">
        <v>700</v>
      </c>
      <c r="G109" s="402">
        <v>70005</v>
      </c>
      <c r="H109" s="402">
        <v>4400</v>
      </c>
      <c r="I109" s="49">
        <v>9000</v>
      </c>
      <c r="J109" s="49">
        <v>3600</v>
      </c>
      <c r="K109" s="49"/>
      <c r="L109" s="49">
        <f t="shared" si="23"/>
        <v>3600</v>
      </c>
      <c r="M109" s="402">
        <v>1800</v>
      </c>
      <c r="N109" s="49">
        <v>0</v>
      </c>
      <c r="O109" s="49">
        <v>0</v>
      </c>
      <c r="P109" s="49">
        <v>0</v>
      </c>
      <c r="Q109" s="162">
        <f t="shared" si="22"/>
        <v>5400</v>
      </c>
    </row>
    <row r="110" spans="1:17" ht="39" customHeight="1">
      <c r="A110" s="135" t="s">
        <v>142</v>
      </c>
      <c r="B110" s="376" t="s">
        <v>390</v>
      </c>
      <c r="C110" s="527" t="s">
        <v>206</v>
      </c>
      <c r="D110" s="533">
        <v>2012</v>
      </c>
      <c r="E110" s="533">
        <v>2013</v>
      </c>
      <c r="F110" s="533">
        <v>700</v>
      </c>
      <c r="G110" s="533">
        <v>70005</v>
      </c>
      <c r="H110" s="533">
        <v>4400</v>
      </c>
      <c r="I110" s="49">
        <f>Q110</f>
        <v>5100</v>
      </c>
      <c r="J110" s="49">
        <v>3600</v>
      </c>
      <c r="K110" s="49"/>
      <c r="L110" s="49">
        <f>J110+K110</f>
        <v>3600</v>
      </c>
      <c r="M110" s="533">
        <v>1500</v>
      </c>
      <c r="N110" s="49">
        <v>0</v>
      </c>
      <c r="O110" s="49">
        <v>0</v>
      </c>
      <c r="P110" s="49">
        <v>0</v>
      </c>
      <c r="Q110" s="162">
        <f>SUM(L110:P110)</f>
        <v>5100</v>
      </c>
    </row>
    <row r="111" spans="1:17" ht="38.25" customHeight="1">
      <c r="A111" s="135" t="s">
        <v>143</v>
      </c>
      <c r="B111" s="376" t="s">
        <v>321</v>
      </c>
      <c r="C111" s="404" t="s">
        <v>206</v>
      </c>
      <c r="D111" s="402">
        <v>2012</v>
      </c>
      <c r="E111" s="402">
        <v>2016</v>
      </c>
      <c r="F111" s="402">
        <v>700</v>
      </c>
      <c r="G111" s="402">
        <v>70005</v>
      </c>
      <c r="H111" s="402">
        <v>4400</v>
      </c>
      <c r="I111" s="49">
        <f>Q111</f>
        <v>1738937</v>
      </c>
      <c r="J111" s="49">
        <v>385937</v>
      </c>
      <c r="K111" s="49"/>
      <c r="L111" s="49">
        <f>J111+K111</f>
        <v>385937</v>
      </c>
      <c r="M111" s="49">
        <v>369000</v>
      </c>
      <c r="N111" s="49">
        <v>369000</v>
      </c>
      <c r="O111" s="49">
        <v>369000</v>
      </c>
      <c r="P111" s="49">
        <v>246000</v>
      </c>
      <c r="Q111" s="162">
        <f t="shared" si="22"/>
        <v>1738937</v>
      </c>
    </row>
    <row r="112" spans="1:17" ht="21.75" customHeight="1">
      <c r="A112" s="135" t="s">
        <v>210</v>
      </c>
      <c r="B112" s="376" t="s">
        <v>328</v>
      </c>
      <c r="C112" s="505" t="s">
        <v>177</v>
      </c>
      <c r="D112" s="504">
        <v>2012</v>
      </c>
      <c r="E112" s="504">
        <v>2014</v>
      </c>
      <c r="F112" s="504">
        <v>700</v>
      </c>
      <c r="G112" s="504">
        <v>70005</v>
      </c>
      <c r="H112" s="504">
        <v>4400</v>
      </c>
      <c r="I112" s="49">
        <v>54255</v>
      </c>
      <c r="J112" s="49">
        <v>17555</v>
      </c>
      <c r="K112" s="49"/>
      <c r="L112" s="49">
        <f>J112+K112</f>
        <v>17555</v>
      </c>
      <c r="M112" s="49">
        <v>18100</v>
      </c>
      <c r="N112" s="49">
        <v>18600</v>
      </c>
      <c r="O112" s="49"/>
      <c r="P112" s="49"/>
      <c r="Q112" s="162">
        <f>SUM(L112:P112)</f>
        <v>54255</v>
      </c>
    </row>
    <row r="113" spans="1:17" ht="21.75" customHeight="1">
      <c r="A113" s="135" t="s">
        <v>275</v>
      </c>
      <c r="B113" s="376" t="s">
        <v>315</v>
      </c>
      <c r="C113" s="458" t="s">
        <v>177</v>
      </c>
      <c r="D113" s="457">
        <v>2011</v>
      </c>
      <c r="E113" s="457">
        <v>2012</v>
      </c>
      <c r="F113" s="457">
        <v>700</v>
      </c>
      <c r="G113" s="457">
        <v>70005</v>
      </c>
      <c r="H113" s="457">
        <v>4400</v>
      </c>
      <c r="I113" s="49">
        <v>73800</v>
      </c>
      <c r="J113" s="49">
        <v>67650</v>
      </c>
      <c r="K113" s="49"/>
      <c r="L113" s="49">
        <f t="shared" si="23"/>
        <v>67650</v>
      </c>
      <c r="M113" s="49"/>
      <c r="N113" s="49"/>
      <c r="O113" s="49"/>
      <c r="P113" s="49"/>
      <c r="Q113" s="162">
        <f t="shared" si="22"/>
        <v>67650</v>
      </c>
    </row>
    <row r="114" spans="1:17" ht="21" customHeight="1">
      <c r="A114" s="135" t="s">
        <v>276</v>
      </c>
      <c r="B114" s="376" t="s">
        <v>362</v>
      </c>
      <c r="C114" s="476" t="s">
        <v>177</v>
      </c>
      <c r="D114" s="475">
        <v>2011</v>
      </c>
      <c r="E114" s="475">
        <v>2014</v>
      </c>
      <c r="F114" s="475">
        <v>700</v>
      </c>
      <c r="G114" s="475">
        <v>70005</v>
      </c>
      <c r="H114" s="475">
        <v>4400</v>
      </c>
      <c r="I114" s="49">
        <v>570256</v>
      </c>
      <c r="J114" s="471">
        <v>115128</v>
      </c>
      <c r="K114" s="471">
        <v>62500</v>
      </c>
      <c r="L114" s="49">
        <f t="shared" si="23"/>
        <v>177628</v>
      </c>
      <c r="M114" s="471">
        <v>208854</v>
      </c>
      <c r="N114" s="471">
        <v>183774</v>
      </c>
      <c r="O114" s="471"/>
      <c r="P114" s="49"/>
      <c r="Q114" s="162">
        <f t="shared" si="22"/>
        <v>570256</v>
      </c>
    </row>
    <row r="115" spans="1:18" ht="21.75" customHeight="1">
      <c r="A115" s="135" t="s">
        <v>277</v>
      </c>
      <c r="B115" s="477" t="s">
        <v>308</v>
      </c>
      <c r="C115" s="476" t="s">
        <v>309</v>
      </c>
      <c r="D115" s="475">
        <v>2011</v>
      </c>
      <c r="E115" s="475">
        <v>2016</v>
      </c>
      <c r="F115" s="475">
        <v>710</v>
      </c>
      <c r="G115" s="475">
        <v>71004</v>
      </c>
      <c r="H115" s="475">
        <v>4300</v>
      </c>
      <c r="I115" s="49">
        <f>Q115+101993</f>
        <v>1621185</v>
      </c>
      <c r="J115" s="49">
        <v>399192</v>
      </c>
      <c r="K115" s="49"/>
      <c r="L115" s="49">
        <f t="shared" si="23"/>
        <v>399192</v>
      </c>
      <c r="M115" s="49">
        <v>280000</v>
      </c>
      <c r="N115" s="49">
        <v>280000</v>
      </c>
      <c r="O115" s="49">
        <v>280000</v>
      </c>
      <c r="P115" s="49">
        <v>280000</v>
      </c>
      <c r="Q115" s="162">
        <f t="shared" si="22"/>
        <v>1519192</v>
      </c>
      <c r="R115" s="162">
        <f>SUM(N115:Q115)</f>
        <v>2359192</v>
      </c>
    </row>
    <row r="116" spans="1:18" ht="21.75" customHeight="1">
      <c r="A116" s="135" t="s">
        <v>278</v>
      </c>
      <c r="B116" s="376" t="s">
        <v>203</v>
      </c>
      <c r="C116" s="476" t="s">
        <v>204</v>
      </c>
      <c r="D116" s="475">
        <v>2011</v>
      </c>
      <c r="E116" s="475">
        <v>2013</v>
      </c>
      <c r="F116" s="475">
        <v>750</v>
      </c>
      <c r="G116" s="475">
        <v>75023</v>
      </c>
      <c r="H116" s="475">
        <v>4300</v>
      </c>
      <c r="I116" s="49">
        <v>549000</v>
      </c>
      <c r="J116" s="471">
        <v>183000</v>
      </c>
      <c r="K116" s="471"/>
      <c r="L116" s="49">
        <f t="shared" si="23"/>
        <v>183000</v>
      </c>
      <c r="M116" s="471">
        <v>183000</v>
      </c>
      <c r="N116" s="471">
        <v>0</v>
      </c>
      <c r="O116" s="471">
        <v>0</v>
      </c>
      <c r="P116" s="49">
        <v>0</v>
      </c>
      <c r="Q116" s="162">
        <f t="shared" si="22"/>
        <v>366000</v>
      </c>
      <c r="R116" s="401"/>
    </row>
    <row r="117" spans="1:18" ht="21.75" customHeight="1">
      <c r="A117" s="135" t="s">
        <v>279</v>
      </c>
      <c r="B117" s="376" t="s">
        <v>205</v>
      </c>
      <c r="C117" s="476" t="s">
        <v>204</v>
      </c>
      <c r="D117" s="475">
        <v>2011</v>
      </c>
      <c r="E117" s="475">
        <v>2012</v>
      </c>
      <c r="F117" s="475">
        <v>750</v>
      </c>
      <c r="G117" s="475">
        <v>75023</v>
      </c>
      <c r="H117" s="475">
        <v>4300</v>
      </c>
      <c r="I117" s="49">
        <v>8198</v>
      </c>
      <c r="J117" s="478">
        <v>4099</v>
      </c>
      <c r="K117" s="478"/>
      <c r="L117" s="49">
        <f t="shared" si="23"/>
        <v>4099</v>
      </c>
      <c r="M117" s="478">
        <v>0</v>
      </c>
      <c r="N117" s="471">
        <v>0</v>
      </c>
      <c r="O117" s="471">
        <v>0</v>
      </c>
      <c r="P117" s="49">
        <v>0</v>
      </c>
      <c r="Q117" s="162">
        <f t="shared" si="22"/>
        <v>4099</v>
      </c>
      <c r="R117" s="401"/>
    </row>
    <row r="118" spans="1:18" ht="38.25" customHeight="1">
      <c r="A118" s="135" t="s">
        <v>280</v>
      </c>
      <c r="B118" s="376" t="s">
        <v>243</v>
      </c>
      <c r="C118" s="476" t="s">
        <v>204</v>
      </c>
      <c r="D118" s="475">
        <v>2011</v>
      </c>
      <c r="E118" s="475">
        <v>2012</v>
      </c>
      <c r="F118" s="475">
        <v>750</v>
      </c>
      <c r="G118" s="475">
        <v>75023</v>
      </c>
      <c r="H118" s="475">
        <v>4300</v>
      </c>
      <c r="I118" s="49">
        <v>6360</v>
      </c>
      <c r="J118" s="478">
        <v>3180</v>
      </c>
      <c r="K118" s="478"/>
      <c r="L118" s="49">
        <f t="shared" si="23"/>
        <v>3180</v>
      </c>
      <c r="M118" s="478">
        <v>0</v>
      </c>
      <c r="N118" s="471">
        <v>0</v>
      </c>
      <c r="O118" s="471">
        <v>0</v>
      </c>
      <c r="P118" s="49">
        <v>0</v>
      </c>
      <c r="Q118" s="162">
        <f t="shared" si="22"/>
        <v>3180</v>
      </c>
      <c r="R118" s="401"/>
    </row>
    <row r="119" spans="1:18" ht="22.5" customHeight="1">
      <c r="A119" s="135" t="s">
        <v>298</v>
      </c>
      <c r="B119" s="376" t="s">
        <v>384</v>
      </c>
      <c r="C119" s="527" t="s">
        <v>281</v>
      </c>
      <c r="D119" s="531">
        <v>2011</v>
      </c>
      <c r="E119" s="531">
        <v>2016</v>
      </c>
      <c r="F119" s="531">
        <v>750</v>
      </c>
      <c r="G119" s="531">
        <v>75023</v>
      </c>
      <c r="H119" s="531">
        <v>4300</v>
      </c>
      <c r="I119" s="49">
        <f>Q119</f>
        <v>164000</v>
      </c>
      <c r="J119" s="49">
        <v>30000</v>
      </c>
      <c r="K119" s="49"/>
      <c r="L119" s="49">
        <f t="shared" si="23"/>
        <v>30000</v>
      </c>
      <c r="M119" s="49">
        <v>40000</v>
      </c>
      <c r="N119" s="49">
        <v>40000</v>
      </c>
      <c r="O119" s="49">
        <v>4000</v>
      </c>
      <c r="P119" s="49">
        <v>50000</v>
      </c>
      <c r="Q119" s="162">
        <f t="shared" si="22"/>
        <v>164000</v>
      </c>
      <c r="R119" s="401"/>
    </row>
    <row r="120" spans="1:18" ht="24" customHeight="1">
      <c r="A120" s="135" t="s">
        <v>299</v>
      </c>
      <c r="B120" s="376" t="s">
        <v>363</v>
      </c>
      <c r="C120" s="519" t="s">
        <v>330</v>
      </c>
      <c r="D120" s="518">
        <v>2012</v>
      </c>
      <c r="E120" s="518">
        <v>2014</v>
      </c>
      <c r="F120" s="518">
        <v>750</v>
      </c>
      <c r="G120" s="518">
        <v>75023</v>
      </c>
      <c r="H120" s="518">
        <v>4360</v>
      </c>
      <c r="I120" s="49">
        <f>Q120</f>
        <v>23800</v>
      </c>
      <c r="J120" s="471">
        <v>17050</v>
      </c>
      <c r="K120" s="478"/>
      <c r="L120" s="49">
        <f>J120+K120</f>
        <v>17050</v>
      </c>
      <c r="M120" s="478">
        <v>6650</v>
      </c>
      <c r="N120" s="471">
        <v>100</v>
      </c>
      <c r="O120" s="471"/>
      <c r="P120" s="49"/>
      <c r="Q120" s="162">
        <f>SUM(L120:P120)</f>
        <v>23800</v>
      </c>
      <c r="R120" s="401"/>
    </row>
    <row r="121" spans="1:18" ht="23.25" customHeight="1">
      <c r="A121" s="135" t="s">
        <v>305</v>
      </c>
      <c r="B121" s="376" t="s">
        <v>329</v>
      </c>
      <c r="C121" s="517" t="s">
        <v>330</v>
      </c>
      <c r="D121" s="515">
        <v>2012</v>
      </c>
      <c r="E121" s="515">
        <v>2013</v>
      </c>
      <c r="F121" s="515">
        <v>750</v>
      </c>
      <c r="G121" s="515">
        <v>75023</v>
      </c>
      <c r="H121" s="515">
        <v>4430</v>
      </c>
      <c r="I121" s="49">
        <f>Q121</f>
        <v>34000</v>
      </c>
      <c r="J121" s="471">
        <v>17000</v>
      </c>
      <c r="K121" s="478"/>
      <c r="L121" s="49">
        <f>J121+K121</f>
        <v>17000</v>
      </c>
      <c r="M121" s="478">
        <v>17000</v>
      </c>
      <c r="N121" s="471"/>
      <c r="O121" s="471"/>
      <c r="P121" s="49"/>
      <c r="Q121" s="162">
        <f>SUM(L121:P121)</f>
        <v>34000</v>
      </c>
      <c r="R121" s="401"/>
    </row>
    <row r="122" spans="1:18" ht="26.25" customHeight="1">
      <c r="A122" s="135" t="s">
        <v>310</v>
      </c>
      <c r="B122" s="376" t="s">
        <v>352</v>
      </c>
      <c r="C122" s="508" t="s">
        <v>330</v>
      </c>
      <c r="D122" s="507">
        <v>2012</v>
      </c>
      <c r="E122" s="507">
        <v>2014</v>
      </c>
      <c r="F122" s="507">
        <v>750</v>
      </c>
      <c r="G122" s="507">
        <v>75023</v>
      </c>
      <c r="H122" s="507">
        <v>4430</v>
      </c>
      <c r="I122" s="49">
        <f>Q122</f>
        <v>45000</v>
      </c>
      <c r="J122" s="471">
        <v>15000</v>
      </c>
      <c r="K122" s="478"/>
      <c r="L122" s="49">
        <f t="shared" si="23"/>
        <v>15000</v>
      </c>
      <c r="M122" s="478">
        <v>15000</v>
      </c>
      <c r="N122" s="471">
        <v>15000</v>
      </c>
      <c r="O122" s="471"/>
      <c r="P122" s="49"/>
      <c r="Q122" s="162">
        <f t="shared" si="22"/>
        <v>45000</v>
      </c>
      <c r="R122" s="401"/>
    </row>
    <row r="123" spans="1:18" ht="25.5" customHeight="1">
      <c r="A123" s="135" t="s">
        <v>337</v>
      </c>
      <c r="B123" s="477" t="s">
        <v>311</v>
      </c>
      <c r="C123" s="476" t="s">
        <v>204</v>
      </c>
      <c r="D123" s="475">
        <v>2011</v>
      </c>
      <c r="E123" s="475">
        <v>2012</v>
      </c>
      <c r="F123" s="475">
        <v>750</v>
      </c>
      <c r="G123" s="475">
        <v>75023</v>
      </c>
      <c r="H123" s="475">
        <v>4300</v>
      </c>
      <c r="I123" s="49">
        <v>79950</v>
      </c>
      <c r="J123" s="471">
        <v>73800</v>
      </c>
      <c r="K123" s="471"/>
      <c r="L123" s="49">
        <f t="shared" si="23"/>
        <v>73800</v>
      </c>
      <c r="M123" s="471"/>
      <c r="N123" s="470"/>
      <c r="O123" s="471"/>
      <c r="P123" s="49"/>
      <c r="Q123" s="162">
        <f t="shared" si="22"/>
        <v>73800</v>
      </c>
      <c r="R123" s="401"/>
    </row>
    <row r="124" spans="1:18" ht="24.75" customHeight="1">
      <c r="A124" s="135" t="s">
        <v>338</v>
      </c>
      <c r="B124" s="376" t="s">
        <v>326</v>
      </c>
      <c r="C124" s="503" t="s">
        <v>177</v>
      </c>
      <c r="D124" s="502">
        <v>2012</v>
      </c>
      <c r="E124" s="502">
        <v>2013</v>
      </c>
      <c r="F124" s="502">
        <v>750</v>
      </c>
      <c r="G124" s="502">
        <v>75023</v>
      </c>
      <c r="H124" s="502">
        <v>4300</v>
      </c>
      <c r="I124" s="49">
        <f aca="true" t="shared" si="24" ref="I124:I129">Q124</f>
        <v>2583</v>
      </c>
      <c r="J124" s="49">
        <v>1476</v>
      </c>
      <c r="K124" s="49"/>
      <c r="L124" s="49">
        <f t="shared" si="23"/>
        <v>1476</v>
      </c>
      <c r="M124" s="49">
        <v>1107</v>
      </c>
      <c r="N124" s="49">
        <v>0</v>
      </c>
      <c r="O124" s="49">
        <v>0</v>
      </c>
      <c r="P124" s="49">
        <v>0</v>
      </c>
      <c r="Q124" s="162">
        <f t="shared" si="22"/>
        <v>2583</v>
      </c>
      <c r="R124" s="401"/>
    </row>
    <row r="125" spans="1:18" ht="44.25" customHeight="1">
      <c r="A125" s="135" t="s">
        <v>339</v>
      </c>
      <c r="B125" s="376" t="s">
        <v>336</v>
      </c>
      <c r="C125" s="512" t="s">
        <v>330</v>
      </c>
      <c r="D125" s="510">
        <v>2012</v>
      </c>
      <c r="E125" s="510">
        <v>2013</v>
      </c>
      <c r="F125" s="510">
        <v>750</v>
      </c>
      <c r="G125" s="510">
        <v>75075</v>
      </c>
      <c r="H125" s="510">
        <v>4300</v>
      </c>
      <c r="I125" s="49">
        <f t="shared" si="24"/>
        <v>419510</v>
      </c>
      <c r="J125" s="49">
        <v>209755</v>
      </c>
      <c r="K125" s="49"/>
      <c r="L125" s="49">
        <f>J125</f>
        <v>209755</v>
      </c>
      <c r="M125" s="49">
        <v>209755</v>
      </c>
      <c r="N125" s="49"/>
      <c r="O125" s="49"/>
      <c r="P125" s="49"/>
      <c r="Q125" s="162">
        <f t="shared" si="22"/>
        <v>419510</v>
      </c>
      <c r="R125" s="401"/>
    </row>
    <row r="126" spans="1:18" ht="25.5" customHeight="1">
      <c r="A126" s="135" t="s">
        <v>340</v>
      </c>
      <c r="B126" s="376" t="s">
        <v>327</v>
      </c>
      <c r="C126" s="503" t="s">
        <v>177</v>
      </c>
      <c r="D126" s="502">
        <v>2012</v>
      </c>
      <c r="E126" s="502">
        <v>2013</v>
      </c>
      <c r="F126" s="502">
        <v>754</v>
      </c>
      <c r="G126" s="502">
        <v>75412</v>
      </c>
      <c r="H126" s="502">
        <v>4300</v>
      </c>
      <c r="I126" s="49">
        <f t="shared" si="24"/>
        <v>3813</v>
      </c>
      <c r="J126" s="49">
        <v>2952</v>
      </c>
      <c r="K126" s="49"/>
      <c r="L126" s="49">
        <f t="shared" si="23"/>
        <v>2952</v>
      </c>
      <c r="M126" s="49">
        <v>861</v>
      </c>
      <c r="N126" s="49">
        <v>0</v>
      </c>
      <c r="O126" s="49">
        <v>0</v>
      </c>
      <c r="P126" s="49">
        <v>0</v>
      </c>
      <c r="Q126" s="162">
        <f t="shared" si="22"/>
        <v>3813</v>
      </c>
      <c r="R126" s="401"/>
    </row>
    <row r="127" spans="1:18" ht="25.5" customHeight="1">
      <c r="A127" s="135" t="s">
        <v>341</v>
      </c>
      <c r="B127" s="376" t="s">
        <v>353</v>
      </c>
      <c r="C127" s="517" t="s">
        <v>177</v>
      </c>
      <c r="D127" s="515">
        <v>2012</v>
      </c>
      <c r="E127" s="515">
        <v>2014</v>
      </c>
      <c r="F127" s="515">
        <v>754</v>
      </c>
      <c r="G127" s="515">
        <v>75412</v>
      </c>
      <c r="H127" s="515">
        <v>4300</v>
      </c>
      <c r="I127" s="49">
        <f t="shared" si="24"/>
        <v>105000</v>
      </c>
      <c r="J127" s="49">
        <v>35000</v>
      </c>
      <c r="K127" s="49"/>
      <c r="L127" s="49">
        <f>J127+K127</f>
        <v>35000</v>
      </c>
      <c r="M127" s="49">
        <v>35000</v>
      </c>
      <c r="N127" s="49">
        <v>35000</v>
      </c>
      <c r="O127" s="49">
        <v>0</v>
      </c>
      <c r="P127" s="49">
        <v>0</v>
      </c>
      <c r="Q127" s="162">
        <f>SUM(L127:P127)</f>
        <v>105000</v>
      </c>
      <c r="R127" s="401"/>
    </row>
    <row r="128" spans="1:18" ht="25.5" customHeight="1">
      <c r="A128" s="135" t="s">
        <v>342</v>
      </c>
      <c r="B128" s="376" t="s">
        <v>354</v>
      </c>
      <c r="C128" s="517" t="s">
        <v>177</v>
      </c>
      <c r="D128" s="515">
        <v>2012</v>
      </c>
      <c r="E128" s="515">
        <v>2013</v>
      </c>
      <c r="F128" s="515">
        <v>754</v>
      </c>
      <c r="G128" s="515">
        <v>75412</v>
      </c>
      <c r="H128" s="515">
        <v>4300</v>
      </c>
      <c r="I128" s="49">
        <f t="shared" si="24"/>
        <v>11000</v>
      </c>
      <c r="J128" s="49">
        <v>5500</v>
      </c>
      <c r="K128" s="49"/>
      <c r="L128" s="49">
        <f>J128+K128</f>
        <v>5500</v>
      </c>
      <c r="M128" s="49">
        <v>5500</v>
      </c>
      <c r="N128" s="49">
        <v>0</v>
      </c>
      <c r="O128" s="49">
        <v>0</v>
      </c>
      <c r="P128" s="49">
        <v>0</v>
      </c>
      <c r="Q128" s="162">
        <f>SUM(L128:P128)</f>
        <v>11000</v>
      </c>
      <c r="R128" s="401"/>
    </row>
    <row r="129" spans="1:18" ht="25.5" customHeight="1">
      <c r="A129" s="135" t="s">
        <v>343</v>
      </c>
      <c r="B129" s="376" t="s">
        <v>363</v>
      </c>
      <c r="C129" s="519" t="s">
        <v>330</v>
      </c>
      <c r="D129" s="518">
        <v>2012</v>
      </c>
      <c r="E129" s="518">
        <v>2014</v>
      </c>
      <c r="F129" s="518">
        <v>754</v>
      </c>
      <c r="G129" s="518">
        <v>75023</v>
      </c>
      <c r="H129" s="518">
        <v>4360</v>
      </c>
      <c r="I129" s="49">
        <f t="shared" si="24"/>
        <v>2500</v>
      </c>
      <c r="J129" s="471">
        <v>1000</v>
      </c>
      <c r="K129" s="478"/>
      <c r="L129" s="49">
        <f>J129+K129</f>
        <v>1000</v>
      </c>
      <c r="M129" s="478">
        <v>1200</v>
      </c>
      <c r="N129" s="471">
        <v>300</v>
      </c>
      <c r="O129" s="471"/>
      <c r="P129" s="49"/>
      <c r="Q129" s="162">
        <f>SUM(L129:P129)</f>
        <v>2500</v>
      </c>
      <c r="R129" s="401"/>
    </row>
    <row r="130" spans="1:17" ht="24.75" customHeight="1">
      <c r="A130" s="135" t="s">
        <v>344</v>
      </c>
      <c r="B130" s="376" t="s">
        <v>273</v>
      </c>
      <c r="C130" s="406" t="s">
        <v>274</v>
      </c>
      <c r="D130" s="468">
        <v>2011</v>
      </c>
      <c r="E130" s="468">
        <v>2014</v>
      </c>
      <c r="F130" s="405">
        <v>801</v>
      </c>
      <c r="G130" s="405">
        <v>80101</v>
      </c>
      <c r="H130" s="405">
        <v>4260</v>
      </c>
      <c r="I130" s="49">
        <f>SUM(J130:N130)</f>
        <v>1380000</v>
      </c>
      <c r="J130" s="49">
        <v>330000</v>
      </c>
      <c r="K130" s="49"/>
      <c r="L130" s="49">
        <f t="shared" si="23"/>
        <v>330000</v>
      </c>
      <c r="M130" s="49">
        <v>350000</v>
      </c>
      <c r="N130" s="49">
        <v>370000</v>
      </c>
      <c r="O130" s="49"/>
      <c r="P130" s="49"/>
      <c r="Q130" s="162">
        <f t="shared" si="22"/>
        <v>1050000</v>
      </c>
    </row>
    <row r="131" spans="1:17" ht="24.75" customHeight="1">
      <c r="A131" s="135" t="s">
        <v>345</v>
      </c>
      <c r="B131" s="376" t="s">
        <v>366</v>
      </c>
      <c r="C131" s="521" t="s">
        <v>274</v>
      </c>
      <c r="D131" s="520">
        <v>2012</v>
      </c>
      <c r="E131" s="520">
        <v>2014</v>
      </c>
      <c r="F131" s="520">
        <v>801</v>
      </c>
      <c r="G131" s="520">
        <v>80101</v>
      </c>
      <c r="H131" s="520">
        <v>4300</v>
      </c>
      <c r="I131" s="49">
        <f>Q131</f>
        <v>7200</v>
      </c>
      <c r="J131" s="471">
        <v>2400</v>
      </c>
      <c r="K131" s="478"/>
      <c r="L131" s="49">
        <f>J131+K131</f>
        <v>2400</v>
      </c>
      <c r="M131" s="478">
        <v>2400</v>
      </c>
      <c r="N131" s="471">
        <v>2400</v>
      </c>
      <c r="O131" s="471"/>
      <c r="P131" s="49"/>
      <c r="Q131" s="162">
        <f>SUM(L131:P131)</f>
        <v>7200</v>
      </c>
    </row>
    <row r="132" spans="1:17" ht="24.75" customHeight="1">
      <c r="A132" s="135" t="s">
        <v>346</v>
      </c>
      <c r="B132" s="376" t="s">
        <v>363</v>
      </c>
      <c r="C132" s="521" t="s">
        <v>274</v>
      </c>
      <c r="D132" s="520">
        <v>2012</v>
      </c>
      <c r="E132" s="520">
        <v>2013</v>
      </c>
      <c r="F132" s="520">
        <v>801</v>
      </c>
      <c r="G132" s="520">
        <v>80101</v>
      </c>
      <c r="H132" s="520">
        <v>4360</v>
      </c>
      <c r="I132" s="49">
        <f>Q132</f>
        <v>22000</v>
      </c>
      <c r="J132" s="471">
        <v>11000</v>
      </c>
      <c r="K132" s="478"/>
      <c r="L132" s="49">
        <f>J132+K132</f>
        <v>11000</v>
      </c>
      <c r="M132" s="478">
        <v>11000</v>
      </c>
      <c r="N132" s="471"/>
      <c r="O132" s="471"/>
      <c r="P132" s="49"/>
      <c r="Q132" s="162">
        <f>SUM(L132:P132)</f>
        <v>22000</v>
      </c>
    </row>
    <row r="133" spans="1:17" ht="24.75" customHeight="1">
      <c r="A133" s="135" t="s">
        <v>347</v>
      </c>
      <c r="B133" s="376" t="s">
        <v>273</v>
      </c>
      <c r="C133" s="406" t="s">
        <v>274</v>
      </c>
      <c r="D133" s="468">
        <v>2011</v>
      </c>
      <c r="E133" s="468">
        <v>2014</v>
      </c>
      <c r="F133" s="405">
        <v>801</v>
      </c>
      <c r="G133" s="405">
        <v>80104</v>
      </c>
      <c r="H133" s="405">
        <v>4260</v>
      </c>
      <c r="I133" s="49">
        <f>SUM(J133:N133)</f>
        <v>329000</v>
      </c>
      <c r="J133" s="49">
        <v>78000</v>
      </c>
      <c r="K133" s="49"/>
      <c r="L133" s="49">
        <f t="shared" si="23"/>
        <v>78000</v>
      </c>
      <c r="M133" s="49">
        <v>84000</v>
      </c>
      <c r="N133" s="49">
        <v>89000</v>
      </c>
      <c r="O133" s="49"/>
      <c r="P133" s="49"/>
      <c r="Q133" s="162">
        <f t="shared" si="22"/>
        <v>251000</v>
      </c>
    </row>
    <row r="134" spans="1:17" ht="25.5" customHeight="1">
      <c r="A134" s="135" t="s">
        <v>348</v>
      </c>
      <c r="B134" s="376" t="s">
        <v>273</v>
      </c>
      <c r="C134" s="406" t="s">
        <v>274</v>
      </c>
      <c r="D134" s="468">
        <v>2011</v>
      </c>
      <c r="E134" s="468">
        <v>2014</v>
      </c>
      <c r="F134" s="405">
        <v>801</v>
      </c>
      <c r="G134" s="405">
        <v>80110</v>
      </c>
      <c r="H134" s="405">
        <v>4260</v>
      </c>
      <c r="I134" s="49">
        <f>SUM(J134:N134)</f>
        <v>690000</v>
      </c>
      <c r="J134" s="49">
        <v>160000</v>
      </c>
      <c r="K134" s="49"/>
      <c r="L134" s="49">
        <f t="shared" si="23"/>
        <v>160000</v>
      </c>
      <c r="M134" s="49">
        <v>180000</v>
      </c>
      <c r="N134" s="49">
        <v>190000</v>
      </c>
      <c r="O134" s="49"/>
      <c r="P134" s="49"/>
      <c r="Q134" s="162">
        <f t="shared" si="22"/>
        <v>530000</v>
      </c>
    </row>
    <row r="135" spans="1:17" ht="25.5" customHeight="1">
      <c r="A135" s="135" t="s">
        <v>349</v>
      </c>
      <c r="B135" s="376" t="s">
        <v>366</v>
      </c>
      <c r="C135" s="521" t="s">
        <v>274</v>
      </c>
      <c r="D135" s="520">
        <v>2012</v>
      </c>
      <c r="E135" s="520">
        <v>2014</v>
      </c>
      <c r="F135" s="520">
        <v>801</v>
      </c>
      <c r="G135" s="520">
        <v>80114</v>
      </c>
      <c r="H135" s="520">
        <v>4300</v>
      </c>
      <c r="I135" s="49">
        <f>Q135</f>
        <v>7200</v>
      </c>
      <c r="J135" s="471">
        <v>2400</v>
      </c>
      <c r="K135" s="478"/>
      <c r="L135" s="49">
        <f>J135+K135</f>
        <v>2400</v>
      </c>
      <c r="M135" s="478">
        <v>2400</v>
      </c>
      <c r="N135" s="471">
        <v>2400</v>
      </c>
      <c r="O135" s="471"/>
      <c r="P135" s="49"/>
      <c r="Q135" s="162">
        <f>SUM(L135:P135)</f>
        <v>7200</v>
      </c>
    </row>
    <row r="136" spans="1:17" ht="25.5" customHeight="1">
      <c r="A136" s="135" t="s">
        <v>350</v>
      </c>
      <c r="B136" s="376" t="s">
        <v>363</v>
      </c>
      <c r="C136" s="521" t="s">
        <v>274</v>
      </c>
      <c r="D136" s="520">
        <v>2012</v>
      </c>
      <c r="E136" s="520">
        <v>2013</v>
      </c>
      <c r="F136" s="520">
        <v>801</v>
      </c>
      <c r="G136" s="520">
        <v>80114</v>
      </c>
      <c r="H136" s="520">
        <v>4360</v>
      </c>
      <c r="I136" s="49">
        <f>Q136</f>
        <v>6000</v>
      </c>
      <c r="J136" s="471">
        <v>3000</v>
      </c>
      <c r="K136" s="478"/>
      <c r="L136" s="49">
        <f>J136+K136</f>
        <v>3000</v>
      </c>
      <c r="M136" s="478">
        <v>3000</v>
      </c>
      <c r="N136" s="471"/>
      <c r="O136" s="471"/>
      <c r="P136" s="49"/>
      <c r="Q136" s="162">
        <f>SUM(L136:P136)</f>
        <v>6000</v>
      </c>
    </row>
    <row r="137" spans="1:17" ht="24.75" customHeight="1">
      <c r="A137" s="135" t="s">
        <v>359</v>
      </c>
      <c r="B137" s="376" t="s">
        <v>273</v>
      </c>
      <c r="C137" s="406" t="s">
        <v>274</v>
      </c>
      <c r="D137" s="468">
        <v>2011</v>
      </c>
      <c r="E137" s="468">
        <v>2014</v>
      </c>
      <c r="F137" s="405">
        <v>801</v>
      </c>
      <c r="G137" s="405">
        <v>80148</v>
      </c>
      <c r="H137" s="405">
        <v>4260</v>
      </c>
      <c r="I137" s="49">
        <f>SUM(J137:N137)</f>
        <v>84000</v>
      </c>
      <c r="J137" s="49">
        <v>18000</v>
      </c>
      <c r="K137" s="49"/>
      <c r="L137" s="49">
        <f t="shared" si="23"/>
        <v>18000</v>
      </c>
      <c r="M137" s="49">
        <v>22000</v>
      </c>
      <c r="N137" s="49">
        <v>26000</v>
      </c>
      <c r="O137" s="49"/>
      <c r="P137" s="49"/>
      <c r="Q137" s="162">
        <f t="shared" si="22"/>
        <v>66000</v>
      </c>
    </row>
    <row r="138" spans="1:18" ht="51" customHeight="1">
      <c r="A138" s="135" t="s">
        <v>360</v>
      </c>
      <c r="B138" s="376" t="s">
        <v>303</v>
      </c>
      <c r="C138" s="469" t="s">
        <v>274</v>
      </c>
      <c r="D138" s="468">
        <v>2011</v>
      </c>
      <c r="E138" s="468">
        <v>2012</v>
      </c>
      <c r="F138" s="468">
        <v>801</v>
      </c>
      <c r="G138" s="468">
        <v>80101</v>
      </c>
      <c r="H138" s="468">
        <v>4300</v>
      </c>
      <c r="I138" s="49">
        <v>219696</v>
      </c>
      <c r="J138" s="470">
        <v>131817</v>
      </c>
      <c r="K138" s="470"/>
      <c r="L138" s="49">
        <f t="shared" si="23"/>
        <v>131817</v>
      </c>
      <c r="M138" s="471"/>
      <c r="N138" s="470"/>
      <c r="O138" s="49"/>
      <c r="P138" s="49"/>
      <c r="Q138" s="162">
        <f t="shared" si="22"/>
        <v>131817</v>
      </c>
      <c r="R138" s="162">
        <f>SUM(N138:Q138)</f>
        <v>131817</v>
      </c>
    </row>
    <row r="139" spans="1:18" ht="41.25" customHeight="1">
      <c r="A139" s="135" t="s">
        <v>361</v>
      </c>
      <c r="B139" s="376" t="s">
        <v>304</v>
      </c>
      <c r="C139" s="469" t="s">
        <v>274</v>
      </c>
      <c r="D139" s="468">
        <v>2011</v>
      </c>
      <c r="E139" s="468">
        <v>2012</v>
      </c>
      <c r="F139" s="468">
        <v>801</v>
      </c>
      <c r="G139" s="468">
        <v>80101</v>
      </c>
      <c r="H139" s="468">
        <v>4300</v>
      </c>
      <c r="I139" s="49">
        <v>978303</v>
      </c>
      <c r="J139" s="470">
        <v>586982</v>
      </c>
      <c r="K139" s="470"/>
      <c r="L139" s="49">
        <f t="shared" si="23"/>
        <v>586982</v>
      </c>
      <c r="M139" s="471"/>
      <c r="N139" s="470"/>
      <c r="O139" s="49"/>
      <c r="P139" s="49"/>
      <c r="Q139" s="162">
        <f t="shared" si="22"/>
        <v>586982</v>
      </c>
      <c r="R139" s="162">
        <f>SUM(N139:Q139)</f>
        <v>586982</v>
      </c>
    </row>
    <row r="140" spans="1:18" ht="24" customHeight="1">
      <c r="A140" s="135" t="s">
        <v>364</v>
      </c>
      <c r="B140" s="376" t="s">
        <v>355</v>
      </c>
      <c r="C140" s="521" t="s">
        <v>274</v>
      </c>
      <c r="D140" s="507">
        <v>2012</v>
      </c>
      <c r="E140" s="507">
        <v>2013</v>
      </c>
      <c r="F140" s="507">
        <v>801</v>
      </c>
      <c r="G140" s="507">
        <v>80101</v>
      </c>
      <c r="H140" s="507">
        <v>4430</v>
      </c>
      <c r="I140" s="49">
        <f>Q140</f>
        <v>44000</v>
      </c>
      <c r="J140" s="471">
        <v>22000</v>
      </c>
      <c r="K140" s="478"/>
      <c r="L140" s="49">
        <f>J140+K140</f>
        <v>22000</v>
      </c>
      <c r="M140" s="478">
        <v>22000</v>
      </c>
      <c r="N140" s="471"/>
      <c r="O140" s="471"/>
      <c r="P140" s="49"/>
      <c r="Q140" s="162">
        <f>SUM(L140:P140)</f>
        <v>44000</v>
      </c>
      <c r="R140" s="401"/>
    </row>
    <row r="141" spans="1:18" ht="25.5" customHeight="1">
      <c r="A141" s="135" t="s">
        <v>365</v>
      </c>
      <c r="B141" s="376" t="s">
        <v>356</v>
      </c>
      <c r="C141" s="521" t="s">
        <v>274</v>
      </c>
      <c r="D141" s="507">
        <v>2012</v>
      </c>
      <c r="E141" s="507">
        <v>2013</v>
      </c>
      <c r="F141" s="507">
        <v>801</v>
      </c>
      <c r="G141" s="507">
        <v>80104</v>
      </c>
      <c r="H141" s="507">
        <v>4430</v>
      </c>
      <c r="I141" s="49">
        <f>Q141</f>
        <v>2000</v>
      </c>
      <c r="J141" s="478">
        <v>1000</v>
      </c>
      <c r="K141" s="478"/>
      <c r="L141" s="49">
        <f>J141+K141</f>
        <v>1000</v>
      </c>
      <c r="M141" s="478">
        <v>1000</v>
      </c>
      <c r="N141" s="471"/>
      <c r="O141" s="471"/>
      <c r="P141" s="49"/>
      <c r="Q141" s="162">
        <f>SUM(L141:P141)</f>
        <v>2000</v>
      </c>
      <c r="R141" s="401"/>
    </row>
    <row r="142" spans="1:18" ht="25.5" customHeight="1">
      <c r="A142" s="135" t="s">
        <v>368</v>
      </c>
      <c r="B142" s="376" t="s">
        <v>357</v>
      </c>
      <c r="C142" s="521" t="s">
        <v>274</v>
      </c>
      <c r="D142" s="507">
        <v>2012</v>
      </c>
      <c r="E142" s="507">
        <v>2013</v>
      </c>
      <c r="F142" s="507">
        <v>801</v>
      </c>
      <c r="G142" s="507">
        <v>80114</v>
      </c>
      <c r="H142" s="507">
        <v>4430</v>
      </c>
      <c r="I142" s="49">
        <f>Q142</f>
        <v>1000</v>
      </c>
      <c r="J142" s="478">
        <v>500</v>
      </c>
      <c r="K142" s="478"/>
      <c r="L142" s="49">
        <f>J142+K142</f>
        <v>500</v>
      </c>
      <c r="M142" s="478">
        <v>500</v>
      </c>
      <c r="N142" s="471"/>
      <c r="O142" s="471"/>
      <c r="P142" s="49"/>
      <c r="Q142" s="162">
        <f>SUM(L142:P142)</f>
        <v>1000</v>
      </c>
      <c r="R142" s="401"/>
    </row>
    <row r="143" spans="1:18" ht="25.5" customHeight="1">
      <c r="A143" s="135" t="s">
        <v>369</v>
      </c>
      <c r="B143" s="376" t="s">
        <v>358</v>
      </c>
      <c r="C143" s="521" t="s">
        <v>367</v>
      </c>
      <c r="D143" s="507">
        <v>2012</v>
      </c>
      <c r="E143" s="507">
        <v>2013</v>
      </c>
      <c r="F143" s="507">
        <v>852</v>
      </c>
      <c r="G143" s="507">
        <v>85219</v>
      </c>
      <c r="H143" s="507">
        <v>4430</v>
      </c>
      <c r="I143" s="49">
        <f>Q143</f>
        <v>800</v>
      </c>
      <c r="J143" s="478">
        <v>400</v>
      </c>
      <c r="K143" s="478"/>
      <c r="L143" s="49">
        <f>J143+K143</f>
        <v>400</v>
      </c>
      <c r="M143" s="478">
        <v>400</v>
      </c>
      <c r="N143" s="471"/>
      <c r="O143" s="471"/>
      <c r="P143" s="49"/>
      <c r="Q143" s="162">
        <f>SUM(L143:P143)</f>
        <v>800</v>
      </c>
      <c r="R143" s="401"/>
    </row>
    <row r="144" spans="1:17" ht="24" customHeight="1">
      <c r="A144" s="135" t="s">
        <v>370</v>
      </c>
      <c r="B144" s="376" t="s">
        <v>268</v>
      </c>
      <c r="C144" s="458" t="s">
        <v>282</v>
      </c>
      <c r="D144" s="468">
        <v>2011</v>
      </c>
      <c r="E144" s="468">
        <v>2014</v>
      </c>
      <c r="F144" s="402">
        <v>900</v>
      </c>
      <c r="G144" s="402">
        <v>90002</v>
      </c>
      <c r="H144" s="402">
        <v>4300</v>
      </c>
      <c r="I144" s="49">
        <v>572000</v>
      </c>
      <c r="J144" s="49">
        <v>200000</v>
      </c>
      <c r="K144" s="49"/>
      <c r="L144" s="49">
        <f t="shared" si="23"/>
        <v>200000</v>
      </c>
      <c r="M144" s="49">
        <v>180000</v>
      </c>
      <c r="N144" s="49">
        <v>190000</v>
      </c>
      <c r="O144" s="49"/>
      <c r="P144" s="49"/>
      <c r="Q144" s="162">
        <f t="shared" si="22"/>
        <v>570000</v>
      </c>
    </row>
    <row r="145" spans="1:17" ht="25.5" customHeight="1">
      <c r="A145" s="135" t="s">
        <v>371</v>
      </c>
      <c r="B145" s="376" t="s">
        <v>263</v>
      </c>
      <c r="C145" s="458" t="s">
        <v>177</v>
      </c>
      <c r="D145" s="402">
        <v>2011</v>
      </c>
      <c r="E145" s="402">
        <v>2012</v>
      </c>
      <c r="F145" s="402">
        <v>900</v>
      </c>
      <c r="G145" s="402">
        <v>90003</v>
      </c>
      <c r="H145" s="402">
        <v>4300</v>
      </c>
      <c r="I145" s="49">
        <v>506000</v>
      </c>
      <c r="J145" s="49">
        <v>500000</v>
      </c>
      <c r="K145" s="49"/>
      <c r="L145" s="49">
        <f t="shared" si="23"/>
        <v>500000</v>
      </c>
      <c r="M145" s="49"/>
      <c r="N145" s="49"/>
      <c r="O145" s="49"/>
      <c r="P145" s="49"/>
      <c r="Q145" s="162">
        <f t="shared" si="22"/>
        <v>500000</v>
      </c>
    </row>
    <row r="146" spans="1:17" ht="24.75" customHeight="1">
      <c r="A146" s="135" t="s">
        <v>385</v>
      </c>
      <c r="B146" s="376" t="s">
        <v>262</v>
      </c>
      <c r="C146" s="458" t="s">
        <v>177</v>
      </c>
      <c r="D146" s="402">
        <v>2011</v>
      </c>
      <c r="E146" s="402">
        <v>2012</v>
      </c>
      <c r="F146" s="402">
        <v>900</v>
      </c>
      <c r="G146" s="402">
        <v>90004</v>
      </c>
      <c r="H146" s="402">
        <v>4300</v>
      </c>
      <c r="I146" s="49">
        <v>220000</v>
      </c>
      <c r="J146" s="49">
        <v>200000</v>
      </c>
      <c r="K146" s="49"/>
      <c r="L146" s="49">
        <f t="shared" si="23"/>
        <v>200000</v>
      </c>
      <c r="M146" s="49"/>
      <c r="N146" s="49"/>
      <c r="O146" s="49"/>
      <c r="P146" s="49"/>
      <c r="Q146" s="162">
        <f t="shared" si="22"/>
        <v>200000</v>
      </c>
    </row>
    <row r="147" spans="1:17" ht="24.75" customHeight="1">
      <c r="A147" s="135" t="s">
        <v>386</v>
      </c>
      <c r="B147" s="376" t="s">
        <v>297</v>
      </c>
      <c r="C147" s="458" t="s">
        <v>177</v>
      </c>
      <c r="D147" s="468">
        <v>2011</v>
      </c>
      <c r="E147" s="468">
        <v>2014</v>
      </c>
      <c r="F147" s="405">
        <v>900</v>
      </c>
      <c r="G147" s="405">
        <v>90015</v>
      </c>
      <c r="H147" s="405">
        <v>4260</v>
      </c>
      <c r="I147" s="49">
        <f>SUM(J147:N147)</f>
        <v>4010000</v>
      </c>
      <c r="J147" s="49">
        <v>980000</v>
      </c>
      <c r="K147" s="49"/>
      <c r="L147" s="49">
        <f t="shared" si="23"/>
        <v>980000</v>
      </c>
      <c r="M147" s="49">
        <v>1000000</v>
      </c>
      <c r="N147" s="49">
        <v>1050000</v>
      </c>
      <c r="O147" s="49"/>
      <c r="P147" s="49"/>
      <c r="Q147" s="162">
        <f t="shared" si="22"/>
        <v>3030000</v>
      </c>
    </row>
    <row r="148" spans="1:17" ht="25.5">
      <c r="A148" s="135" t="s">
        <v>391</v>
      </c>
      <c r="B148" s="376" t="s">
        <v>264</v>
      </c>
      <c r="C148" s="501" t="s">
        <v>177</v>
      </c>
      <c r="D148" s="500">
        <v>2011</v>
      </c>
      <c r="E148" s="500">
        <v>2012</v>
      </c>
      <c r="F148" s="500">
        <v>900</v>
      </c>
      <c r="G148" s="500">
        <v>90015</v>
      </c>
      <c r="H148" s="500">
        <v>4270</v>
      </c>
      <c r="I148" s="49">
        <v>254000</v>
      </c>
      <c r="J148" s="49">
        <v>250000</v>
      </c>
      <c r="K148" s="49"/>
      <c r="L148" s="49">
        <f>J148+K148</f>
        <v>250000</v>
      </c>
      <c r="M148" s="49"/>
      <c r="N148" s="49"/>
      <c r="O148" s="49"/>
      <c r="P148" s="49"/>
      <c r="Q148" s="162">
        <f>SUM(L148:P148)</f>
        <v>250000</v>
      </c>
    </row>
    <row r="149" spans="1:17" ht="12.75">
      <c r="A149" s="80"/>
      <c r="B149" s="80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80"/>
    </row>
    <row r="150" spans="1:3" ht="15">
      <c r="A150" s="36"/>
      <c r="B150" s="45"/>
      <c r="C150" s="46"/>
    </row>
    <row r="151" spans="1:3" ht="15">
      <c r="A151" s="36"/>
      <c r="B151" s="47"/>
      <c r="C151" s="46"/>
    </row>
    <row r="152" spans="1:3" ht="15">
      <c r="A152" s="48"/>
      <c r="B152" s="47"/>
      <c r="C152" s="46"/>
    </row>
    <row r="153" spans="1:3" ht="12.75">
      <c r="A153" s="36"/>
      <c r="B153" s="36"/>
      <c r="C153" s="46"/>
    </row>
  </sheetData>
  <sheetProtection/>
  <mergeCells count="88">
    <mergeCell ref="G90:G91"/>
    <mergeCell ref="A89:A91"/>
    <mergeCell ref="B89:B91"/>
    <mergeCell ref="C89:C91"/>
    <mergeCell ref="D89:D91"/>
    <mergeCell ref="E89:E91"/>
    <mergeCell ref="F89:H89"/>
    <mergeCell ref="F90:F91"/>
    <mergeCell ref="H62:H63"/>
    <mergeCell ref="J60:P60"/>
    <mergeCell ref="Q60:Q63"/>
    <mergeCell ref="J61:L62"/>
    <mergeCell ref="M61:M63"/>
    <mergeCell ref="N61:N63"/>
    <mergeCell ref="O61:O63"/>
    <mergeCell ref="P61:P63"/>
    <mergeCell ref="A60:A63"/>
    <mergeCell ref="B60:B63"/>
    <mergeCell ref="C60:C63"/>
    <mergeCell ref="D60:E61"/>
    <mergeCell ref="F60:H61"/>
    <mergeCell ref="I60:I63"/>
    <mergeCell ref="D62:D63"/>
    <mergeCell ref="E62:E63"/>
    <mergeCell ref="F62:F63"/>
    <mergeCell ref="G62:G63"/>
    <mergeCell ref="O93:O95"/>
    <mergeCell ref="F10:F11"/>
    <mergeCell ref="C92:C95"/>
    <mergeCell ref="Q8:Q11"/>
    <mergeCell ref="P93:P95"/>
    <mergeCell ref="F94:F95"/>
    <mergeCell ref="G94:G95"/>
    <mergeCell ref="H94:H95"/>
    <mergeCell ref="Q92:Q95"/>
    <mergeCell ref="M93:M95"/>
    <mergeCell ref="A92:A95"/>
    <mergeCell ref="B92:B95"/>
    <mergeCell ref="D92:E93"/>
    <mergeCell ref="F92:H93"/>
    <mergeCell ref="D94:D95"/>
    <mergeCell ref="E94:E95"/>
    <mergeCell ref="N93:N95"/>
    <mergeCell ref="F38:H38"/>
    <mergeCell ref="B24:B25"/>
    <mergeCell ref="F24:H24"/>
    <mergeCell ref="F51:H51"/>
    <mergeCell ref="J92:P92"/>
    <mergeCell ref="J93:L94"/>
    <mergeCell ref="I92:I95"/>
    <mergeCell ref="J33:P33"/>
    <mergeCell ref="H35:H36"/>
    <mergeCell ref="F19:H19"/>
    <mergeCell ref="B20:B21"/>
    <mergeCell ref="F20:H20"/>
    <mergeCell ref="J9:L10"/>
    <mergeCell ref="G10:G11"/>
    <mergeCell ref="H10:H11"/>
    <mergeCell ref="I8:I11"/>
    <mergeCell ref="B8:B11"/>
    <mergeCell ref="C8:C11"/>
    <mergeCell ref="D10:D11"/>
    <mergeCell ref="A6:Q7"/>
    <mergeCell ref="D8:E9"/>
    <mergeCell ref="F8:H9"/>
    <mergeCell ref="J8:P8"/>
    <mergeCell ref="M9:M11"/>
    <mergeCell ref="N9:N11"/>
    <mergeCell ref="O9:O11"/>
    <mergeCell ref="P9:P11"/>
    <mergeCell ref="A8:A11"/>
    <mergeCell ref="E10:E11"/>
    <mergeCell ref="A33:A36"/>
    <mergeCell ref="B33:B36"/>
    <mergeCell ref="C33:C36"/>
    <mergeCell ref="D33:E34"/>
    <mergeCell ref="F33:H34"/>
    <mergeCell ref="I33:I36"/>
    <mergeCell ref="D35:D36"/>
    <mergeCell ref="E35:E36"/>
    <mergeCell ref="F35:F36"/>
    <mergeCell ref="G35:G36"/>
    <mergeCell ref="Q33:Q36"/>
    <mergeCell ref="J34:L35"/>
    <mergeCell ref="M34:M36"/>
    <mergeCell ref="N34:N36"/>
    <mergeCell ref="O34:O36"/>
    <mergeCell ref="P34:P36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2012-04-23T10:24:31Z</cp:lastPrinted>
  <dcterms:created xsi:type="dcterms:W3CDTF">2011-02-22T14:35:52Z</dcterms:created>
  <dcterms:modified xsi:type="dcterms:W3CDTF">2012-04-23T11:28:32Z</dcterms:modified>
  <cp:category/>
  <cp:version/>
  <cp:contentType/>
  <cp:contentStatus/>
</cp:coreProperties>
</file>