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2" activeTab="5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długu'!$G$16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<sst xmlns="http://schemas.openxmlformats.org/spreadsheetml/2006/main" count="844" uniqueCount="413">
  <si>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</si>
  <si>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</si>
  <si>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</si>
  <si>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</si>
  <si>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</si>
  <si>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</si>
  <si>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</si>
  <si>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</si>
  <si>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</si>
  <si>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</si>
  <si>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</si>
  <si>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</si>
  <si>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</si>
  <si>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</si>
  <si>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</si>
  <si>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</si>
  <si>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</si>
  <si>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</si>
  <si>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</si>
  <si>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</si>
  <si>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</si>
  <si>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</si>
  <si>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</si>
  <si>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</si>
  <si>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</si>
  <si>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</si>
  <si>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</si>
  <si>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</si>
  <si>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</si>
  <si>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</si>
  <si>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</si>
  <si>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</si>
  <si>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</si>
  <si>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</si>
  <si>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</si>
  <si>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</si>
  <si>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</si>
  <si>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</si>
  <si>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</si>
  <si>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</si>
  <si>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</si>
  <si>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</si>
  <si>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</si>
  <si>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</si>
  <si>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</si>
  <si>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</si>
  <si>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</si>
  <si>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</si>
  <si>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</si>
  <si>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</si>
  <si>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</si>
  <si>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</si>
  <si>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</si>
  <si>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</si>
  <si>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</si>
  <si>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</si>
  <si>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</si>
  <si>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</si>
  <si>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</si>
  <si>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</si>
  <si>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</si>
  <si>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</si>
  <si>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</si>
  <si>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</si>
  <si>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</si>
  <si>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</si>
  <si>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</si>
  <si>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</si>
  <si>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</si>
  <si>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</si>
  <si>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</si>
  <si>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</si>
  <si>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</si>
  <si>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</si>
  <si>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</si>
  <si>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</si>
  <si>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</si>
  <si>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</si>
  <si>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</si>
  <si>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</si>
  <si>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</si>
  <si>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</si>
  <si>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</si>
  <si>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</si>
  <si>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</si>
  <si>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</si>
  <si>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</si>
  <si>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</si>
  <si>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</si>
  <si>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</si>
  <si>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</si>
  <si>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</si>
  <si>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</si>
  <si>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</si>
  <si>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</si>
  <si>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</si>
  <si>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</si>
  <si>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</si>
  <si>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</si>
  <si>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</si>
  <si>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</si>
  <si>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</si>
  <si>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</si>
  <si>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</si>
  <si>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</si>
  <si>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</si>
  <si>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</si>
  <si>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</si>
  <si>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</si>
  <si>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</si>
  <si>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</si>
  <si>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</si>
  <si>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</si>
  <si>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</si>
  <si>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</si>
  <si>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</si>
  <si>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</si>
  <si>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</si>
  <si>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</si>
  <si>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</si>
  <si>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</si>
  <si>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</si>
  <si>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</si>
  <si>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</si>
  <si>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</si>
  <si>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</si>
  <si>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</si>
  <si>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</si>
  <si>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</si>
  <si>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</si>
  <si>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</si>
  <si>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</si>
  <si>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</si>
  <si>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</si>
  <si>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</si>
  <si>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</si>
  <si>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</si>
  <si>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</si>
  <si>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</si>
  <si>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</si>
  <si>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</si>
  <si>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</si>
  <si>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</si>
  <si>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</si>
  <si>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</si>
  <si>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</si>
  <si>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</si>
  <si>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</si>
  <si>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</si>
  <si>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</si>
  <si>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</si>
  <si>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</si>
  <si>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</si>
  <si>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</si>
  <si>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</si>
  <si>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</si>
  <si>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</si>
  <si>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</si>
  <si>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</si>
  <si>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</si>
  <si>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</si>
  <si>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</si>
  <si>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</si>
  <si>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</si>
  <si>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</si>
  <si>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</si>
  <si>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</si>
  <si>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</si>
  <si>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</si>
  <si>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</si>
  <si>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</si>
  <si>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</si>
  <si>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</si>
  <si>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</si>
  <si>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</si>
  <si>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</si>
  <si>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</si>
  <si>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</si>
  <si>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</si>
  <si>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</si>
  <si>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</si>
  <si>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</si>
  <si>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</si>
  <si>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</si>
  <si>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</si>
  <si>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</si>
  <si>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</si>
  <si>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</si>
  <si>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</si>
  <si>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</si>
  <si>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</si>
  <si>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</si>
  <si>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</si>
  <si>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</si>
  <si>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</si>
  <si>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</si>
  <si>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</si>
  <si>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</si>
  <si>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</si>
  <si>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</si>
  <si>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</si>
  <si>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</si>
  <si>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</si>
  <si>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</si>
  <si>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</si>
  <si>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</si>
  <si>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</si>
  <si>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</si>
  <si>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</si>
  <si>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</si>
  <si>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</si>
  <si>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</si>
  <si>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</si>
  <si>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</si>
  <si>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</si>
  <si>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</si>
  <si>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</si>
  <si>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</si>
  <si>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</si>
  <si>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</si>
  <si>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</si>
  <si>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</si>
  <si>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</si>
  <si>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</si>
  <si>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</si>
  <si>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</si>
  <si>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</si>
  <si>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</si>
  <si>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</si>
  <si>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</si>
  <si>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</si>
  <si>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</si>
  <si>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</si>
  <si>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</si>
  <si>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</si>
  <si>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</si>
  <si>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</si>
  <si>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</si>
  <si>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</si>
  <si>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</si>
  <si>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</si>
  <si>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</si>
  <si>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</si>
  <si>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</si>
  <si>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</si>
  <si>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</si>
  <si>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</si>
  <si>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</si>
  <si>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</si>
  <si>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</si>
  <si>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</si>
  <si>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</si>
  <si>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</si>
  <si>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</si>
  <si>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</si>
  <si>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</si>
  <si>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</si>
  <si>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</si>
  <si>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</si>
  <si>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</si>
  <si>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</si>
  <si>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</si>
  <si>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</si>
  <si>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</si>
  <si>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</si>
  <si>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</si>
  <si>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</si>
  <si>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</si>
  <si>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</si>
  <si>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</si>
  <si>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</si>
  <si>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</si>
  <si>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</si>
  <si>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</si>
  <si>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</si>
  <si>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</si>
  <si>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21.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</si>
  <si>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</si>
  <si>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</si>
  <si>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</si>
  <si>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</si>
  <si>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</si>
  <si>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</si>
  <si>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</si>
  <si>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</si>
  <si>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</si>
  <si>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</si>
  <si>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</si>
  <si>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</si>
  <si>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Plan III kw. 2011</t>
  </si>
  <si>
    <t>WIELOLETNIA  PROGNOZA  FINANSOWA  GMINY  LESZNOWOLA  NA LATA  2012 - 2021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</si>
  <si>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</si>
  <si>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</si>
  <si>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</si>
  <si>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</si>
  <si>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</si>
  <si>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</si>
  <si>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</si>
  <si>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</si>
  <si>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</si>
  <si>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PROGNOZA DŁUGU GMINY LESZNOWOLA NA LATA 2012- 2021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</si>
  <si>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</si>
  <si>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</si>
  <si>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</si>
  <si>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</si>
  <si>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</si>
  <si>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55 381 222,-zł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</si>
  <si>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</si>
  <si>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</si>
  <si>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</si>
  <si>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</si>
  <si>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</si>
  <si>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</si>
  <si>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</si>
  <si>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</si>
  <si>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</si>
  <si>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</si>
  <si>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</si>
  <si>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</si>
  <si>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</si>
  <si>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</si>
  <si>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</si>
  <si>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</si>
  <si>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</si>
  <si>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</si>
  <si>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</si>
  <si>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</si>
  <si>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</si>
  <si>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</si>
  <si>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</si>
  <si>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</si>
  <si>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</si>
  <si>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</si>
  <si>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</si>
  <si>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</si>
  <si>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</si>
  <si>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</si>
  <si>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</si>
  <si>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</si>
  <si>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</si>
  <si>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</si>
  <si>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</si>
  <si>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</si>
  <si>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</si>
  <si>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</si>
  <si>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</si>
  <si>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</si>
  <si>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</si>
  <si>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</si>
  <si>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</si>
  <si>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</si>
  <si>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</si>
  <si>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</si>
  <si>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</si>
  <si>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</si>
  <si>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</si>
  <si>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</si>
  <si>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</si>
  <si>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</si>
  <si>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</si>
  <si>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</si>
  <si>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</si>
  <si>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</si>
  <si>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</si>
  <si>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</si>
  <si>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</si>
  <si>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</si>
  <si>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Łazy II - Projekt i budowa oświetlenia na drodze gminnej dz. nr. 44/72 i 46 (przy ul. Przyszłości-pkt świetlne)</t>
  </si>
  <si>
    <t>Mysiadło - Projekt i budowa oświetlenia ulicy nr ewid. dz. 20/17, 31/6 i 22 (pkt świetlne)</t>
  </si>
  <si>
    <t>1.2.11</t>
  </si>
  <si>
    <t>UG - PRI</t>
  </si>
  <si>
    <t>Zgorzała - Budowa świetlicy   II etap</t>
  </si>
  <si>
    <t xml:space="preserve">Lesznowola - Projekt i rozbudowa ul. Okrężnej na odcinku od ul. Słonecznej do dz. nr. 278 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</si>
  <si>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</si>
  <si>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</si>
  <si>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</si>
  <si>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</si>
  <si>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</si>
  <si>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</si>
  <si>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Dzierżawa gruntu o pow. 1.000 m2 pod plac zabaw w Stefanowie</t>
  </si>
  <si>
    <t>Stefanowo- Projekt i przebudowa ul. Uroczej wraz z budową chodnika</t>
  </si>
  <si>
    <t>2.1.21</t>
  </si>
  <si>
    <t>Mysiadło - Projekt i budowa oświetlenia ulic: Aronii, Porzeczkowej i Agrestowej (pkt świetlne)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</si>
  <si>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</si>
  <si>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</si>
  <si>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</si>
  <si>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</si>
  <si>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</si>
  <si>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</si>
  <si>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</si>
  <si>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</si>
  <si>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</si>
  <si>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</si>
  <si>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</si>
  <si>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</si>
  <si>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</si>
  <si>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</si>
  <si>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</si>
  <si>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</si>
  <si>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</si>
  <si>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</si>
  <si>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>Programy, projekty lub zadania                 ( razem)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</si>
  <si>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</si>
  <si>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</si>
  <si>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</si>
  <si>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</si>
  <si>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L A T A</t>
  </si>
  <si>
    <t>z dnia 19 czerwca 2012r.</t>
  </si>
  <si>
    <t>Do Uchwały Nr XVII/2012</t>
  </si>
  <si>
    <t>z dnia 19czerwca 2012r.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</si>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</sst>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0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/>
    </xf>
    <xf numFmtId="0" fontId="30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20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3" fontId="38" fillId="0" borderId="14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0" borderId="14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5" fillId="0" borderId="27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 wrapText="1"/>
    </xf>
    <xf numFmtId="3" fontId="34" fillId="0" borderId="29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left" vertical="center" wrapText="1"/>
    </xf>
    <xf numFmtId="4" fontId="30" fillId="22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0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left" vertical="center" wrapText="1"/>
    </xf>
    <xf numFmtId="0" fontId="38" fillId="4" borderId="32" xfId="0" applyFont="1" applyFill="1" applyBorder="1" applyAlignment="1">
      <alignment horizontal="center" vertical="center" wrapText="1"/>
    </xf>
    <xf numFmtId="3" fontId="35" fillId="4" borderId="32" xfId="0" applyNumberFormat="1" applyFont="1" applyFill="1" applyBorder="1" applyAlignment="1">
      <alignment horizontal="center" vertical="center" wrapText="1"/>
    </xf>
    <xf numFmtId="3" fontId="34" fillId="4" borderId="32" xfId="0" applyNumberFormat="1" applyFont="1" applyFill="1" applyBorder="1" applyAlignment="1">
      <alignment horizontal="center" vertical="center" wrapText="1"/>
    </xf>
    <xf numFmtId="3" fontId="35" fillId="4" borderId="3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0" borderId="35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35" xfId="0" applyNumberFormat="1" applyFont="1" applyFill="1" applyBorder="1" applyAlignment="1">
      <alignment horizontal="center" vertical="center"/>
    </xf>
    <xf numFmtId="3" fontId="45" fillId="0" borderId="35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3" fontId="45" fillId="0" borderId="37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3" fontId="45" fillId="0" borderId="39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3" fontId="45" fillId="0" borderId="41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wrapText="1"/>
    </xf>
    <xf numFmtId="3" fontId="47" fillId="25" borderId="14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45" fillId="0" borderId="44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3" fontId="45" fillId="0" borderId="45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right" vertical="center" wrapText="1"/>
    </xf>
    <xf numFmtId="0" fontId="30" fillId="0" borderId="49" xfId="0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45" fillId="0" borderId="49" xfId="0" applyNumberFormat="1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3" fontId="45" fillId="0" borderId="50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0" fillId="0" borderId="34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5" fillId="26" borderId="14" xfId="0" applyNumberFormat="1" applyFont="1" applyFill="1" applyBorder="1" applyAlignment="1">
      <alignment horizontal="center" vertical="center"/>
    </xf>
    <xf numFmtId="3" fontId="35" fillId="27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3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" fontId="21" fillId="0" borderId="49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/>
    </xf>
    <xf numFmtId="164" fontId="21" fillId="22" borderId="54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18" fillId="22" borderId="38" xfId="0" applyNumberFormat="1" applyFont="1" applyFill="1" applyBorder="1" applyAlignment="1">
      <alignment/>
    </xf>
    <xf numFmtId="164" fontId="21" fillId="22" borderId="55" xfId="0" applyNumberFormat="1" applyFont="1" applyFill="1" applyBorder="1" applyAlignment="1">
      <alignment/>
    </xf>
    <xf numFmtId="1" fontId="21" fillId="22" borderId="49" xfId="0" applyNumberFormat="1" applyFont="1" applyFill="1" applyBorder="1" applyAlignment="1">
      <alignment horizontal="center"/>
    </xf>
    <xf numFmtId="3" fontId="18" fillId="22" borderId="49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52" xfId="0" applyNumberFormat="1" applyFont="1" applyFill="1" applyBorder="1" applyAlignment="1">
      <alignment horizontal="center"/>
    </xf>
    <xf numFmtId="3" fontId="21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/>
    </xf>
    <xf numFmtId="3" fontId="18" fillId="22" borderId="52" xfId="0" applyNumberFormat="1" applyFont="1" applyFill="1" applyBorder="1" applyAlignment="1">
      <alignment/>
    </xf>
    <xf numFmtId="164" fontId="21" fillId="22" borderId="53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21" fillId="22" borderId="44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/>
    </xf>
    <xf numFmtId="3" fontId="21" fillId="22" borderId="38" xfId="0" applyNumberFormat="1" applyFont="1" applyFill="1" applyBorder="1" applyAlignment="1">
      <alignment horizontal="center" vertical="top" wrapText="1"/>
    </xf>
    <xf numFmtId="3" fontId="21" fillId="22" borderId="49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18" fillId="22" borderId="49" xfId="0" applyNumberFormat="1" applyFont="1" applyFill="1" applyBorder="1" applyAlignment="1">
      <alignment horizontal="center" vertical="top" wrapText="1"/>
    </xf>
    <xf numFmtId="3" fontId="21" fillId="22" borderId="52" xfId="0" applyNumberFormat="1" applyFont="1" applyFill="1" applyBorder="1" applyAlignment="1">
      <alignment horizontal="center" vertical="top" wrapText="1"/>
    </xf>
    <xf numFmtId="3" fontId="18" fillId="22" borderId="52" xfId="0" applyNumberFormat="1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3" fontId="18" fillId="22" borderId="61" xfId="0" applyNumberFormat="1" applyFont="1" applyFill="1" applyBorder="1" applyAlignment="1">
      <alignment/>
    </xf>
    <xf numFmtId="3" fontId="18" fillId="22" borderId="59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0" fontId="0" fillId="0" borderId="63" xfId="0" applyBorder="1" applyAlignment="1">
      <alignment/>
    </xf>
    <xf numFmtId="3" fontId="0" fillId="0" borderId="63" xfId="0" applyNumberFormat="1" applyBorder="1" applyAlignment="1">
      <alignment/>
    </xf>
    <xf numFmtId="0" fontId="18" fillId="0" borderId="63" xfId="0" applyFont="1" applyBorder="1" applyAlignment="1">
      <alignment/>
    </xf>
    <xf numFmtId="0" fontId="0" fillId="22" borderId="63" xfId="0" applyNumberFormat="1" applyFill="1" applyBorder="1" applyAlignment="1">
      <alignment/>
    </xf>
    <xf numFmtId="0" fontId="0" fillId="22" borderId="63" xfId="0" applyFill="1" applyBorder="1" applyAlignment="1">
      <alignment/>
    </xf>
    <xf numFmtId="3" fontId="0" fillId="22" borderId="63" xfId="0" applyNumberFormat="1" applyFill="1" applyBorder="1" applyAlignment="1">
      <alignment/>
    </xf>
    <xf numFmtId="0" fontId="0" fillId="0" borderId="63" xfId="0" applyNumberForma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0" fillId="0" borderId="64" xfId="0" applyBorder="1" applyAlignment="1">
      <alignment/>
    </xf>
    <xf numFmtId="3" fontId="21" fillId="0" borderId="49" xfId="0" applyNumberFormat="1" applyFont="1" applyBorder="1" applyAlignment="1">
      <alignment/>
    </xf>
    <xf numFmtId="3" fontId="21" fillId="22" borderId="38" xfId="0" applyNumberFormat="1" applyFont="1" applyFill="1" applyBorder="1" applyAlignment="1">
      <alignment/>
    </xf>
    <xf numFmtId="3" fontId="21" fillId="22" borderId="49" xfId="0" applyNumberFormat="1" applyFont="1" applyFill="1" applyBorder="1" applyAlignment="1">
      <alignment/>
    </xf>
    <xf numFmtId="3" fontId="21" fillId="0" borderId="52" xfId="0" applyNumberFormat="1" applyFont="1" applyBorder="1" applyAlignment="1">
      <alignment/>
    </xf>
    <xf numFmtId="3" fontId="21" fillId="22" borderId="52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/>
    </xf>
    <xf numFmtId="164" fontId="21" fillId="0" borderId="56" xfId="0" applyNumberFormat="1" applyFont="1" applyBorder="1" applyAlignment="1">
      <alignment/>
    </xf>
    <xf numFmtId="1" fontId="21" fillId="0" borderId="52" xfId="0" applyNumberFormat="1" applyFont="1" applyBorder="1" applyAlignment="1">
      <alignment horizontal="center"/>
    </xf>
    <xf numFmtId="0" fontId="0" fillId="0" borderId="65" xfId="0" applyFill="1" applyBorder="1" applyAlignment="1">
      <alignment/>
    </xf>
    <xf numFmtId="3" fontId="19" fillId="28" borderId="63" xfId="0" applyNumberFormat="1" applyFont="1" applyFill="1" applyBorder="1" applyAlignment="1">
      <alignment horizontal="center" vertical="top" wrapText="1"/>
    </xf>
    <xf numFmtId="3" fontId="0" fillId="28" borderId="63" xfId="0" applyNumberFormat="1" applyFill="1" applyBorder="1" applyAlignment="1">
      <alignment/>
    </xf>
    <xf numFmtId="0" fontId="0" fillId="28" borderId="66" xfId="0" applyFill="1" applyBorder="1" applyAlignment="1">
      <alignment/>
    </xf>
    <xf numFmtId="0" fontId="18" fillId="28" borderId="67" xfId="0" applyFont="1" applyFill="1" applyBorder="1" applyAlignment="1">
      <alignment/>
    </xf>
    <xf numFmtId="0" fontId="0" fillId="28" borderId="68" xfId="0" applyFill="1" applyBorder="1" applyAlignment="1">
      <alignment/>
    </xf>
    <xf numFmtId="3" fontId="0" fillId="28" borderId="69" xfId="0" applyNumberFormat="1" applyFill="1" applyBorder="1" applyAlignment="1">
      <alignment/>
    </xf>
    <xf numFmtId="3" fontId="0" fillId="28" borderId="67" xfId="0" applyNumberFormat="1" applyFill="1" applyBorder="1" applyAlignment="1">
      <alignment/>
    </xf>
    <xf numFmtId="3" fontId="0" fillId="28" borderId="68" xfId="0" applyNumberFormat="1" applyFill="1" applyBorder="1" applyAlignment="1">
      <alignment/>
    </xf>
    <xf numFmtId="3" fontId="0" fillId="28" borderId="70" xfId="0" applyNumberFormat="1" applyFill="1" applyBorder="1" applyAlignment="1">
      <alignment/>
    </xf>
    <xf numFmtId="0" fontId="0" fillId="28" borderId="71" xfId="0" applyFill="1" applyBorder="1" applyAlignment="1">
      <alignment/>
    </xf>
    <xf numFmtId="0" fontId="0" fillId="28" borderId="72" xfId="0" applyFill="1" applyBorder="1" applyAlignment="1">
      <alignment/>
    </xf>
    <xf numFmtId="0" fontId="0" fillId="28" borderId="63" xfId="0" applyFill="1" applyBorder="1" applyAlignment="1">
      <alignment/>
    </xf>
    <xf numFmtId="0" fontId="18" fillId="28" borderId="63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3" fontId="19" fillId="0" borderId="57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62" xfId="0" applyNumberFormat="1" applyFont="1" applyFill="1" applyBorder="1" applyAlignment="1">
      <alignment/>
    </xf>
    <xf numFmtId="3" fontId="21" fillId="22" borderId="59" xfId="0" applyNumberFormat="1" applyFont="1" applyFill="1" applyBorder="1" applyAlignment="1">
      <alignment/>
    </xf>
    <xf numFmtId="3" fontId="21" fillId="22" borderId="61" xfId="0" applyNumberFormat="1" applyFont="1" applyFill="1" applyBorder="1" applyAlignment="1">
      <alignment/>
    </xf>
    <xf numFmtId="3" fontId="21" fillId="0" borderId="62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73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7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73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74" xfId="0" applyFill="1" applyBorder="1" applyAlignment="1">
      <alignment/>
    </xf>
    <xf numFmtId="0" fontId="48" fillId="0" borderId="75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5" borderId="14" xfId="0" applyFont="1" applyFill="1" applyBorder="1" applyAlignment="1">
      <alignment horizontal="center" vertical="center" wrapText="1"/>
    </xf>
    <xf numFmtId="3" fontId="0" fillId="0" borderId="65" xfId="0" applyNumberFormat="1" applyFill="1" applyBorder="1" applyAlignment="1">
      <alignment/>
    </xf>
    <xf numFmtId="0" fontId="34" fillId="4" borderId="3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46" fillId="29" borderId="14" xfId="0" applyFont="1" applyFill="1" applyBorder="1" applyAlignment="1">
      <alignment horizontal="center" vertical="center" wrapText="1"/>
    </xf>
    <xf numFmtId="3" fontId="47" fillId="30" borderId="35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 wrapText="1"/>
    </xf>
    <xf numFmtId="3" fontId="45" fillId="0" borderId="3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76" xfId="0" applyFont="1" applyFill="1" applyBorder="1" applyAlignment="1">
      <alignment horizontal="left" vertical="center" wrapText="1"/>
    </xf>
    <xf numFmtId="0" fontId="42" fillId="0" borderId="63" xfId="0" applyFont="1" applyBorder="1" applyAlignment="1">
      <alignment vertical="center" wrapText="1"/>
    </xf>
    <xf numFmtId="0" fontId="42" fillId="0" borderId="66" xfId="0" applyFont="1" applyBorder="1" applyAlignment="1">
      <alignment vertical="center" wrapText="1"/>
    </xf>
    <xf numFmtId="0" fontId="49" fillId="0" borderId="34" xfId="0" applyFont="1" applyBorder="1" applyAlignment="1">
      <alignment horizontal="left" vertical="center" wrapText="1"/>
    </xf>
    <xf numFmtId="0" fontId="30" fillId="0" borderId="63" xfId="0" applyFont="1" applyBorder="1" applyAlignment="1">
      <alignment vertical="center" wrapText="1"/>
    </xf>
    <xf numFmtId="0" fontId="30" fillId="0" borderId="34" xfId="0" applyFont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center" wrapText="1"/>
    </xf>
    <xf numFmtId="0" fontId="30" fillId="31" borderId="16" xfId="0" applyFont="1" applyFill="1" applyBorder="1" applyAlignment="1">
      <alignment horizontal="center" vertical="center" wrapText="1"/>
    </xf>
    <xf numFmtId="0" fontId="45" fillId="31" borderId="16" xfId="0" applyFont="1" applyFill="1" applyBorder="1" applyAlignment="1">
      <alignment horizontal="center" vertical="center" wrapText="1"/>
    </xf>
    <xf numFmtId="3" fontId="50" fillId="31" borderId="16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/>
    </xf>
    <xf numFmtId="2" fontId="51" fillId="25" borderId="34" xfId="0" applyNumberFormat="1" applyFont="1" applyFill="1" applyBorder="1" applyAlignment="1">
      <alignment horizontal="left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166" fontId="34" fillId="25" borderId="13" xfId="0" applyNumberFormat="1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left" vertical="center" wrapText="1"/>
    </xf>
    <xf numFmtId="166" fontId="50" fillId="25" borderId="13" xfId="0" applyNumberFormat="1" applyFont="1" applyFill="1" applyBorder="1" applyAlignment="1">
      <alignment horizontal="center" vertical="center"/>
    </xf>
    <xf numFmtId="0" fontId="47" fillId="25" borderId="34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 wrapText="1"/>
    </xf>
    <xf numFmtId="3" fontId="50" fillId="25" borderId="14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2" fontId="47" fillId="25" borderId="34" xfId="0" applyNumberFormat="1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center" vertical="center" wrapText="1"/>
    </xf>
    <xf numFmtId="0" fontId="30" fillId="0" borderId="66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4" fillId="32" borderId="29" xfId="0" applyNumberFormat="1" applyFont="1" applyFill="1" applyBorder="1" applyAlignment="1">
      <alignment horizontal="center" vertical="center"/>
    </xf>
    <xf numFmtId="3" fontId="30" fillId="32" borderId="14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3" fontId="34" fillId="32" borderId="14" xfId="0" applyNumberFormat="1" applyFont="1" applyFill="1" applyBorder="1" applyAlignment="1">
      <alignment horizontal="center" vertical="center"/>
    </xf>
    <xf numFmtId="165" fontId="30" fillId="26" borderId="14" xfId="0" applyNumberFormat="1" applyFont="1" applyFill="1" applyBorder="1" applyAlignment="1">
      <alignment horizontal="center" vertical="center"/>
    </xf>
    <xf numFmtId="4" fontId="30" fillId="26" borderId="26" xfId="0" applyNumberFormat="1" applyFont="1" applyFill="1" applyBorder="1" applyAlignment="1">
      <alignment horizontal="center" vertical="center"/>
    </xf>
    <xf numFmtId="3" fontId="34" fillId="33" borderId="29" xfId="0" applyNumberFormat="1" applyFont="1" applyFill="1" applyBorder="1" applyAlignment="1">
      <alignment horizontal="center" vertical="center"/>
    </xf>
    <xf numFmtId="3" fontId="30" fillId="33" borderId="14" xfId="0" applyNumberFormat="1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/>
    </xf>
    <xf numFmtId="4" fontId="30" fillId="33" borderId="14" xfId="0" applyNumberFormat="1" applyFont="1" applyFill="1" applyBorder="1" applyAlignment="1">
      <alignment horizontal="center" vertical="center"/>
    </xf>
    <xf numFmtId="3" fontId="34" fillId="33" borderId="14" xfId="0" applyNumberFormat="1" applyFont="1" applyFill="1" applyBorder="1" applyAlignment="1">
      <alignment horizontal="center" vertical="center"/>
    </xf>
    <xf numFmtId="4" fontId="30" fillId="34" borderId="26" xfId="0" applyNumberFormat="1" applyFont="1" applyFill="1" applyBorder="1" applyAlignment="1">
      <alignment horizontal="center" vertical="center"/>
    </xf>
    <xf numFmtId="3" fontId="45" fillId="35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5" fontId="35" fillId="24" borderId="14" xfId="0" applyNumberFormat="1" applyFont="1" applyFill="1" applyBorder="1" applyAlignment="1">
      <alignment horizontal="center" vertical="center" wrapText="1"/>
    </xf>
    <xf numFmtId="0" fontId="38" fillId="0" borderId="77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3" fontId="35" fillId="32" borderId="19" xfId="0" applyNumberFormat="1" applyFont="1" applyFill="1" applyBorder="1" applyAlignment="1">
      <alignment horizontal="center" vertical="center"/>
    </xf>
    <xf numFmtId="3" fontId="38" fillId="32" borderId="19" xfId="0" applyNumberFormat="1" applyFont="1" applyFill="1" applyBorder="1" applyAlignment="1">
      <alignment horizontal="center" vertical="center"/>
    </xf>
    <xf numFmtId="3" fontId="35" fillId="27" borderId="19" xfId="0" applyNumberFormat="1" applyFont="1" applyFill="1" applyBorder="1" applyAlignment="1">
      <alignment horizontal="center" vertical="center" wrapText="1"/>
    </xf>
    <xf numFmtId="3" fontId="35" fillId="32" borderId="19" xfId="0" applyNumberFormat="1" applyFont="1" applyFill="1" applyBorder="1" applyAlignment="1">
      <alignment horizontal="center" vertical="center" wrapText="1"/>
    </xf>
    <xf numFmtId="4" fontId="35" fillId="32" borderId="19" xfId="0" applyNumberFormat="1" applyFont="1" applyFill="1" applyBorder="1" applyAlignment="1">
      <alignment horizontal="center" vertical="center" wrapText="1"/>
    </xf>
    <xf numFmtId="165" fontId="35" fillId="32" borderId="19" xfId="0" applyNumberFormat="1" applyFont="1" applyFill="1" applyBorder="1" applyAlignment="1">
      <alignment horizontal="center" vertical="center" wrapText="1"/>
    </xf>
    <xf numFmtId="3" fontId="35" fillId="32" borderId="78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Border="1" applyAlignment="1">
      <alignment horizontal="center" vertical="center"/>
    </xf>
    <xf numFmtId="3" fontId="35" fillId="22" borderId="34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Fill="1" applyBorder="1" applyAlignment="1">
      <alignment horizontal="center" vertical="center"/>
    </xf>
    <xf numFmtId="4" fontId="35" fillId="0" borderId="34" xfId="0" applyNumberFormat="1" applyFont="1" applyFill="1" applyBorder="1" applyAlignment="1">
      <alignment horizontal="center" vertical="center" wrapText="1"/>
    </xf>
    <xf numFmtId="165" fontId="35" fillId="0" borderId="34" xfId="0" applyNumberFormat="1" applyFont="1" applyFill="1" applyBorder="1" applyAlignment="1">
      <alignment horizontal="center" vertical="center" wrapText="1"/>
    </xf>
    <xf numFmtId="3" fontId="35" fillId="0" borderId="34" xfId="0" applyNumberFormat="1" applyFont="1" applyBorder="1" applyAlignment="1">
      <alignment horizontal="center" vertical="center" wrapText="1"/>
    </xf>
    <xf numFmtId="3" fontId="38" fillId="0" borderId="34" xfId="0" applyNumberFormat="1" applyFont="1" applyBorder="1" applyAlignment="1">
      <alignment horizontal="center" vertical="center" wrapText="1"/>
    </xf>
    <xf numFmtId="3" fontId="35" fillId="0" borderId="79" xfId="0" applyNumberFormat="1" applyFont="1" applyBorder="1" applyAlignment="1">
      <alignment horizontal="center" vertical="center" wrapText="1"/>
    </xf>
    <xf numFmtId="3" fontId="35" fillId="33" borderId="21" xfId="0" applyNumberFormat="1" applyFont="1" applyFill="1" applyBorder="1" applyAlignment="1">
      <alignment horizontal="center" vertical="center"/>
    </xf>
    <xf numFmtId="3" fontId="38" fillId="33" borderId="21" xfId="0" applyNumberFormat="1" applyFont="1" applyFill="1" applyBorder="1" applyAlignment="1">
      <alignment horizontal="center" vertical="center"/>
    </xf>
    <xf numFmtId="3" fontId="35" fillId="34" borderId="21" xfId="0" applyNumberFormat="1" applyFont="1" applyFill="1" applyBorder="1" applyAlignment="1">
      <alignment horizontal="center" vertical="center" wrapText="1"/>
    </xf>
    <xf numFmtId="3" fontId="35" fillId="33" borderId="21" xfId="0" applyNumberFormat="1" applyFont="1" applyFill="1" applyBorder="1" applyAlignment="1">
      <alignment horizontal="center" vertical="center" wrapText="1"/>
    </xf>
    <xf numFmtId="4" fontId="35" fillId="33" borderId="21" xfId="0" applyNumberFormat="1" applyFont="1" applyFill="1" applyBorder="1" applyAlignment="1">
      <alignment horizontal="center" vertical="center" wrapText="1"/>
    </xf>
    <xf numFmtId="165" fontId="35" fillId="33" borderId="21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5" fillId="33" borderId="80" xfId="0" applyNumberFormat="1" applyFont="1" applyFill="1" applyBorder="1" applyAlignment="1">
      <alignment horizontal="center" vertical="center" wrapText="1"/>
    </xf>
    <xf numFmtId="3" fontId="38" fillId="32" borderId="19" xfId="0" applyNumberFormat="1" applyFont="1" applyFill="1" applyBorder="1" applyAlignment="1">
      <alignment horizontal="center" vertical="center" wrapText="1"/>
    </xf>
    <xf numFmtId="3" fontId="38" fillId="0" borderId="34" xfId="0" applyNumberFormat="1" applyFont="1" applyBorder="1" applyAlignment="1">
      <alignment horizontal="center" vertical="center"/>
    </xf>
    <xf numFmtId="3" fontId="38" fillId="0" borderId="34" xfId="0" applyNumberFormat="1" applyFont="1" applyFill="1" applyBorder="1" applyAlignment="1">
      <alignment horizontal="center" vertical="center"/>
    </xf>
    <xf numFmtId="3" fontId="38" fillId="0" borderId="3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8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82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83" xfId="0" applyFont="1" applyBorder="1" applyAlignment="1">
      <alignment vertical="center" wrapText="1"/>
    </xf>
    <xf numFmtId="0" fontId="42" fillId="0" borderId="73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5" fillId="32" borderId="14" xfId="0" applyNumberFormat="1" applyFont="1" applyFill="1" applyBorder="1" applyAlignment="1">
      <alignment horizontal="center" vertical="center" wrapText="1"/>
    </xf>
    <xf numFmtId="3" fontId="30" fillId="32" borderId="14" xfId="0" applyNumberFormat="1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right" vertical="center" wrapText="1"/>
    </xf>
    <xf numFmtId="3" fontId="46" fillId="29" borderId="14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/>
    </xf>
    <xf numFmtId="3" fontId="35" fillId="0" borderId="84" xfId="0" applyNumberFormat="1" applyFont="1" applyFill="1" applyBorder="1" applyAlignment="1">
      <alignment horizontal="center" vertical="center" wrapText="1"/>
    </xf>
    <xf numFmtId="3" fontId="23" fillId="0" borderId="8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2" fillId="0" borderId="77" xfId="0" applyFont="1" applyBorder="1" applyAlignment="1">
      <alignment vertical="center" wrapText="1"/>
    </xf>
    <xf numFmtId="0" fontId="53" fillId="36" borderId="26" xfId="0" applyFont="1" applyFill="1" applyBorder="1" applyAlignment="1">
      <alignment horizontal="center" vertical="center" wrapText="1"/>
    </xf>
    <xf numFmtId="3" fontId="35" fillId="37" borderId="32" xfId="0" applyNumberFormat="1" applyFont="1" applyFill="1" applyBorder="1" applyAlignment="1">
      <alignment horizontal="center" vertical="center" wrapText="1"/>
    </xf>
    <xf numFmtId="3" fontId="45" fillId="38" borderId="14" xfId="0" applyNumberFormat="1" applyFont="1" applyFill="1" applyBorder="1" applyAlignment="1">
      <alignment horizontal="center" vertical="center" wrapText="1"/>
    </xf>
    <xf numFmtId="3" fontId="35" fillId="37" borderId="14" xfId="0" applyNumberFormat="1" applyFont="1" applyFill="1" applyBorder="1" applyAlignment="1">
      <alignment horizontal="center" vertical="center" wrapText="1"/>
    </xf>
    <xf numFmtId="3" fontId="30" fillId="38" borderId="36" xfId="0" applyNumberFormat="1" applyFont="1" applyFill="1" applyBorder="1" applyAlignment="1">
      <alignment horizontal="center" vertical="center" wrapText="1"/>
    </xf>
    <xf numFmtId="3" fontId="30" fillId="38" borderId="38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>
      <alignment horizontal="center" vertical="center" wrapText="1"/>
    </xf>
    <xf numFmtId="3" fontId="30" fillId="38" borderId="32" xfId="0" applyNumberFormat="1" applyFont="1" applyFill="1" applyBorder="1" applyAlignment="1">
      <alignment horizontal="center" vertical="center" wrapText="1"/>
    </xf>
    <xf numFmtId="3" fontId="30" fillId="38" borderId="14" xfId="0" applyNumberFormat="1" applyFont="1" applyFill="1" applyBorder="1" applyAlignment="1">
      <alignment horizontal="center" vertical="center" wrapText="1"/>
    </xf>
    <xf numFmtId="3" fontId="30" fillId="38" borderId="16" xfId="0" applyNumberFormat="1" applyFont="1" applyFill="1" applyBorder="1" applyAlignment="1">
      <alignment horizontal="center" vertical="center" wrapText="1"/>
    </xf>
    <xf numFmtId="3" fontId="45" fillId="38" borderId="36" xfId="0" applyNumberFormat="1" applyFont="1" applyFill="1" applyBorder="1" applyAlignment="1">
      <alignment horizontal="center" vertical="center" wrapText="1"/>
    </xf>
    <xf numFmtId="3" fontId="45" fillId="38" borderId="38" xfId="0" applyNumberFormat="1" applyFont="1" applyFill="1" applyBorder="1" applyAlignment="1">
      <alignment horizontal="center" vertical="center" wrapText="1"/>
    </xf>
    <xf numFmtId="3" fontId="45" fillId="38" borderId="40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 quotePrefix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45" fillId="0" borderId="3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2" fillId="0" borderId="85" xfId="0" applyFont="1" applyBorder="1" applyAlignment="1">
      <alignment vertical="center" wrapText="1"/>
    </xf>
    <xf numFmtId="3" fontId="45" fillId="0" borderId="86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50" fillId="38" borderId="16" xfId="0" applyNumberFormat="1" applyFont="1" applyFill="1" applyBorder="1" applyAlignment="1">
      <alignment horizontal="center" vertical="center" wrapText="1"/>
    </xf>
    <xf numFmtId="3" fontId="30" fillId="38" borderId="44" xfId="0" applyNumberFormat="1" applyFont="1" applyFill="1" applyBorder="1" applyAlignment="1">
      <alignment horizontal="center" vertical="center" wrapText="1"/>
    </xf>
    <xf numFmtId="3" fontId="30" fillId="38" borderId="49" xfId="0" applyNumberFormat="1" applyFont="1" applyFill="1" applyBorder="1" applyAlignment="1">
      <alignment horizontal="center" vertical="center" wrapText="1"/>
    </xf>
    <xf numFmtId="3" fontId="30" fillId="38" borderId="51" xfId="0" applyNumberFormat="1" applyFont="1" applyFill="1" applyBorder="1" applyAlignment="1">
      <alignment horizontal="center" vertical="center" wrapText="1"/>
    </xf>
    <xf numFmtId="3" fontId="30" fillId="38" borderId="5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right" vertical="center" wrapText="1"/>
    </xf>
    <xf numFmtId="3" fontId="30" fillId="38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vertical="top" wrapText="1"/>
    </xf>
    <xf numFmtId="0" fontId="30" fillId="0" borderId="14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65" xfId="0" applyFont="1" applyBorder="1" applyAlignment="1">
      <alignment vertical="center" wrapText="1"/>
    </xf>
    <xf numFmtId="0" fontId="42" fillId="0" borderId="87" xfId="0" applyFont="1" applyBorder="1" applyAlignment="1">
      <alignment vertical="center" wrapText="1"/>
    </xf>
    <xf numFmtId="3" fontId="45" fillId="0" borderId="88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38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0" fontId="34" fillId="39" borderId="89" xfId="0" applyFont="1" applyFill="1" applyBorder="1" applyAlignment="1">
      <alignment horizontal="center" vertical="center"/>
    </xf>
    <xf numFmtId="0" fontId="34" fillId="39" borderId="90" xfId="0" applyFont="1" applyFill="1" applyBorder="1" applyAlignment="1">
      <alignment horizontal="left" vertical="center" wrapText="1"/>
    </xf>
    <xf numFmtId="0" fontId="35" fillId="39" borderId="91" xfId="0" applyFont="1" applyFill="1" applyBorder="1" applyAlignment="1">
      <alignment horizontal="center" vertical="center" wrapText="1"/>
    </xf>
    <xf numFmtId="0" fontId="38" fillId="39" borderId="91" xfId="0" applyFont="1" applyFill="1" applyBorder="1" applyAlignment="1">
      <alignment horizontal="center" vertical="center" wrapText="1"/>
    </xf>
    <xf numFmtId="3" fontId="35" fillId="39" borderId="91" xfId="0" applyNumberFormat="1" applyFont="1" applyFill="1" applyBorder="1" applyAlignment="1">
      <alignment horizontal="center" vertical="center" wrapText="1"/>
    </xf>
    <xf numFmtId="3" fontId="47" fillId="40" borderId="92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2" fillId="0" borderId="85" xfId="0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5" fillId="22" borderId="93" xfId="0" applyNumberFormat="1" applyFont="1" applyFill="1" applyBorder="1" applyAlignment="1">
      <alignment horizontal="center" vertical="center"/>
    </xf>
    <xf numFmtId="3" fontId="35" fillId="22" borderId="93" xfId="0" applyNumberFormat="1" applyFont="1" applyFill="1" applyBorder="1" applyAlignment="1">
      <alignment horizontal="center" vertical="center" wrapText="1"/>
    </xf>
    <xf numFmtId="0" fontId="35" fillId="26" borderId="93" xfId="0" applyNumberFormat="1" applyFont="1" applyFill="1" applyBorder="1" applyAlignment="1">
      <alignment horizontal="center" vertical="center"/>
    </xf>
    <xf numFmtId="0" fontId="35" fillId="34" borderId="9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71" xfId="0" applyFill="1" applyBorder="1" applyAlignment="1">
      <alignment/>
    </xf>
    <xf numFmtId="0" fontId="0" fillId="28" borderId="72" xfId="0" applyFill="1" applyBorder="1" applyAlignment="1">
      <alignment/>
    </xf>
    <xf numFmtId="0" fontId="0" fillId="0" borderId="66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164" fontId="19" fillId="0" borderId="94" xfId="0" applyNumberFormat="1" applyFont="1" applyBorder="1" applyAlignment="1">
      <alignment horizontal="center" vertical="top" wrapText="1"/>
    </xf>
    <xf numFmtId="0" fontId="0" fillId="0" borderId="95" xfId="0" applyBorder="1" applyAlignment="1">
      <alignment horizontal="center" vertical="top" wrapText="1"/>
    </xf>
    <xf numFmtId="0" fontId="0" fillId="0" borderId="96" xfId="0" applyBorder="1" applyAlignment="1">
      <alignment horizontal="center" vertical="top" wrapText="1"/>
    </xf>
    <xf numFmtId="0" fontId="0" fillId="28" borderId="63" xfId="0" applyFill="1" applyBorder="1" applyAlignment="1">
      <alignment/>
    </xf>
    <xf numFmtId="0" fontId="41" fillId="4" borderId="95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35" fillId="22" borderId="32" xfId="0" applyFont="1" applyFill="1" applyBorder="1" applyAlignment="1">
      <alignment horizontal="center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left" vertical="center" wrapText="1"/>
    </xf>
    <xf numFmtId="0" fontId="35" fillId="0" borderId="97" xfId="0" applyFont="1" applyFill="1" applyBorder="1" applyAlignment="1">
      <alignment horizontal="left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5" fillId="22" borderId="29" xfId="0" applyFont="1" applyFill="1" applyBorder="1" applyAlignment="1">
      <alignment horizontal="center" vertical="center"/>
    </xf>
    <xf numFmtId="0" fontId="35" fillId="22" borderId="14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5" fillId="26" borderId="101" xfId="0" applyFont="1" applyFill="1" applyBorder="1" applyAlignment="1">
      <alignment horizontal="center" vertical="center" wrapText="1"/>
    </xf>
    <xf numFmtId="0" fontId="35" fillId="26" borderId="33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38" fillId="0" borderId="77" xfId="0" applyFont="1" applyBorder="1" applyAlignment="1">
      <alignment vertical="center"/>
    </xf>
    <xf numFmtId="0" fontId="35" fillId="34" borderId="21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22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35" fillId="22" borderId="22" xfId="0" applyFont="1" applyFill="1" applyBorder="1" applyAlignment="1">
      <alignment horizontal="left" vertical="center" wrapText="1"/>
    </xf>
    <xf numFmtId="0" fontId="35" fillId="22" borderId="93" xfId="0" applyFont="1" applyFill="1" applyBorder="1" applyAlignment="1">
      <alignment horizontal="center" vertical="center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32" xfId="0" applyFont="1" applyFill="1" applyBorder="1" applyAlignment="1">
      <alignment horizontal="center" vertical="center"/>
    </xf>
    <xf numFmtId="0" fontId="35" fillId="22" borderId="93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78" xfId="0" applyFont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/>
    </xf>
    <xf numFmtId="0" fontId="35" fillId="22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104" xfId="0" applyFont="1" applyFill="1" applyBorder="1" applyAlignment="1">
      <alignment horizontal="center" vertical="center" wrapText="1"/>
    </xf>
    <xf numFmtId="0" fontId="35" fillId="22" borderId="105" xfId="0" applyFont="1" applyFill="1" applyBorder="1" applyAlignment="1">
      <alignment horizontal="center" vertical="center" wrapText="1"/>
    </xf>
    <xf numFmtId="0" fontId="35" fillId="22" borderId="106" xfId="0" applyFont="1" applyFill="1" applyBorder="1" applyAlignment="1">
      <alignment horizontal="center" vertical="center" wrapText="1"/>
    </xf>
    <xf numFmtId="0" fontId="35" fillId="22" borderId="107" xfId="0" applyFont="1" applyFill="1" applyBorder="1" applyAlignment="1">
      <alignment horizontal="center" vertical="center" wrapText="1"/>
    </xf>
    <xf numFmtId="0" fontId="35" fillId="22" borderId="0" xfId="0" applyFont="1" applyFill="1" applyBorder="1" applyAlignment="1">
      <alignment horizontal="center" vertical="center" wrapText="1"/>
    </xf>
    <xf numFmtId="0" fontId="35" fillId="22" borderId="108" xfId="0" applyFont="1" applyFill="1" applyBorder="1" applyAlignment="1">
      <alignment horizontal="center" vertical="center" wrapText="1"/>
    </xf>
    <xf numFmtId="0" fontId="35" fillId="22" borderId="95" xfId="0" applyFont="1" applyFill="1" applyBorder="1" applyAlignment="1">
      <alignment horizontal="center" vertical="center" wrapText="1"/>
    </xf>
    <xf numFmtId="0" fontId="35" fillId="22" borderId="109" xfId="0" applyFont="1" applyFill="1" applyBorder="1" applyAlignment="1">
      <alignment horizontal="center" vertical="center"/>
    </xf>
    <xf numFmtId="0" fontId="35" fillId="22" borderId="27" xfId="0" applyFont="1" applyFill="1" applyBorder="1" applyAlignment="1">
      <alignment horizontal="center" vertical="center"/>
    </xf>
    <xf numFmtId="0" fontId="35" fillId="22" borderId="110" xfId="0" applyFont="1" applyFill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26" borderId="111" xfId="0" applyFont="1" applyFill="1" applyBorder="1" applyAlignment="1">
      <alignment horizontal="center" vertical="center" wrapText="1"/>
    </xf>
    <xf numFmtId="0" fontId="35" fillId="26" borderId="29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5" fillId="22" borderId="112" xfId="0" applyFont="1" applyFill="1" applyBorder="1" applyAlignment="1">
      <alignment horizontal="center" vertical="center"/>
    </xf>
    <xf numFmtId="0" fontId="35" fillId="34" borderId="11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40" fillId="22" borderId="57" xfId="0" applyFont="1" applyFill="1" applyBorder="1" applyAlignment="1">
      <alignment horizontal="center" vertical="center"/>
    </xf>
    <xf numFmtId="0" fontId="38" fillId="0" borderId="93" xfId="0" applyFont="1" applyBorder="1" applyAlignment="1">
      <alignment horizontal="center" vertical="center" wrapText="1"/>
    </xf>
    <xf numFmtId="0" fontId="41" fillId="4" borderId="95" xfId="0" applyFont="1" applyFill="1" applyBorder="1" applyAlignment="1">
      <alignment horizontal="center" vertical="top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 wrapText="1"/>
    </xf>
    <xf numFmtId="0" fontId="34" fillId="22" borderId="88" xfId="0" applyFont="1" applyFill="1" applyBorder="1" applyAlignment="1">
      <alignment horizontal="center" vertical="center" wrapText="1"/>
    </xf>
    <xf numFmtId="0" fontId="34" fillId="22" borderId="101" xfId="0" applyFont="1" applyFill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4" fillId="22" borderId="17" xfId="0" applyFont="1" applyFill="1" applyBorder="1" applyAlignment="1">
      <alignment horizontal="center" vertical="center"/>
    </xf>
    <xf numFmtId="0" fontId="34" fillId="22" borderId="46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22" borderId="16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54" fillId="22" borderId="16" xfId="0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5" fillId="22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22" borderId="48" xfId="0" applyFont="1" applyFill="1" applyBorder="1" applyAlignment="1">
      <alignment horizontal="center" vertical="center" wrapText="1"/>
    </xf>
    <xf numFmtId="0" fontId="44" fillId="22" borderId="16" xfId="0" applyFont="1" applyFill="1" applyBorder="1" applyAlignment="1">
      <alignment horizontal="center" vertical="center" wrapText="1"/>
    </xf>
    <xf numFmtId="0" fontId="44" fillId="22" borderId="48" xfId="0" applyFont="1" applyFill="1" applyBorder="1" applyAlignment="1">
      <alignment horizontal="center" vertical="center" wrapText="1"/>
    </xf>
    <xf numFmtId="0" fontId="34" fillId="22" borderId="111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34" fillId="22" borderId="43" xfId="0" applyFont="1" applyFill="1" applyBorder="1" applyAlignment="1">
      <alignment horizontal="center" vertical="center"/>
    </xf>
    <xf numFmtId="0" fontId="34" fillId="22" borderId="75" xfId="0" applyFont="1" applyFill="1" applyBorder="1" applyAlignment="1">
      <alignment horizontal="center" vertical="center"/>
    </xf>
    <xf numFmtId="0" fontId="54" fillId="22" borderId="75" xfId="0" applyFont="1" applyFill="1" applyBorder="1" applyAlignment="1">
      <alignment horizontal="center" vertical="center" wrapText="1"/>
    </xf>
    <xf numFmtId="0" fontId="55" fillId="22" borderId="29" xfId="0" applyFont="1" applyFill="1" applyBorder="1" applyAlignment="1">
      <alignment horizontal="center" vertical="center" wrapText="1"/>
    </xf>
    <xf numFmtId="0" fontId="34" fillId="22" borderId="75" xfId="0" applyFont="1" applyFill="1" applyBorder="1" applyAlignment="1">
      <alignment horizontal="center" vertical="center" wrapText="1"/>
    </xf>
    <xf numFmtId="0" fontId="43" fillId="4" borderId="109" xfId="0" applyFont="1" applyFill="1" applyBorder="1" applyAlignment="1">
      <alignment horizontal="center" vertical="center"/>
    </xf>
    <xf numFmtId="0" fontId="43" fillId="4" borderId="110" xfId="0" applyFont="1" applyFill="1" applyBorder="1" applyAlignment="1">
      <alignment horizontal="center" vertical="center"/>
    </xf>
    <xf numFmtId="0" fontId="34" fillId="22" borderId="29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1" borderId="16" xfId="0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57" t="s">
        <v>218</v>
      </c>
      <c r="B1" s="557"/>
      <c r="C1" s="557"/>
      <c r="D1" s="557"/>
      <c r="E1" s="557"/>
      <c r="F1" s="557"/>
      <c r="G1" s="557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234">
        <f>B4*C4*5.5%/360</f>
        <v>28875</v>
      </c>
      <c r="F4" s="234">
        <v>0</v>
      </c>
      <c r="G4" s="234">
        <f>E3+E4</f>
        <v>28875</v>
      </c>
    </row>
    <row r="5" spans="1:7" s="2" customFormat="1" ht="15">
      <c r="A5" s="235" t="s">
        <v>8</v>
      </c>
      <c r="B5" s="236">
        <v>90</v>
      </c>
      <c r="C5" s="237">
        <f aca="true" t="shared" si="0" ref="C5:C39">C4-D4</f>
        <v>2100000</v>
      </c>
      <c r="D5" s="238">
        <v>12500</v>
      </c>
      <c r="E5" s="239">
        <f>B5*C5*0.07/360</f>
        <v>36750.00000000001</v>
      </c>
      <c r="F5" s="239"/>
      <c r="G5" s="239"/>
    </row>
    <row r="6" spans="1:8" ht="15">
      <c r="A6" s="240" t="s">
        <v>9</v>
      </c>
      <c r="B6" s="241">
        <v>90</v>
      </c>
      <c r="C6" s="242">
        <f t="shared" si="0"/>
        <v>2087500</v>
      </c>
      <c r="D6" s="243">
        <v>12500</v>
      </c>
      <c r="E6" s="244">
        <f>B6*C6*0.07/360</f>
        <v>36531.25000000001</v>
      </c>
      <c r="F6" s="244"/>
      <c r="G6" s="244"/>
      <c r="H6" s="14">
        <f>SUM(D5:D8)</f>
        <v>50000</v>
      </c>
    </row>
    <row r="7" spans="1:7" ht="15">
      <c r="A7" s="240" t="s">
        <v>10</v>
      </c>
      <c r="B7" s="241">
        <v>90</v>
      </c>
      <c r="C7" s="242">
        <f t="shared" si="0"/>
        <v>2075000</v>
      </c>
      <c r="D7" s="243">
        <f aca="true" t="shared" si="1" ref="D7:D25">D6</f>
        <v>12500</v>
      </c>
      <c r="E7" s="244">
        <f aca="true" t="shared" si="2" ref="E7:E40">B7*C7*0.07/360</f>
        <v>36312.50000000001</v>
      </c>
      <c r="F7" s="244"/>
      <c r="G7" s="244"/>
    </row>
    <row r="8" spans="1:7" ht="15.75" thickBot="1">
      <c r="A8" s="245" t="s">
        <v>11</v>
      </c>
      <c r="B8" s="246">
        <v>90</v>
      </c>
      <c r="C8" s="247">
        <f t="shared" si="0"/>
        <v>2062500</v>
      </c>
      <c r="D8" s="248">
        <f t="shared" si="1"/>
        <v>12500</v>
      </c>
      <c r="E8" s="249">
        <f>B8*C8*0.07/360</f>
        <v>36093.75000000001</v>
      </c>
      <c r="F8" s="249">
        <v>50000</v>
      </c>
      <c r="G8" s="249">
        <v>173688</v>
      </c>
    </row>
    <row r="9" spans="1:7" ht="15">
      <c r="A9" s="235" t="s">
        <v>12</v>
      </c>
      <c r="B9" s="236">
        <v>90</v>
      </c>
      <c r="C9" s="237">
        <f t="shared" si="0"/>
        <v>2050000</v>
      </c>
      <c r="D9" s="238">
        <f t="shared" si="1"/>
        <v>12500</v>
      </c>
      <c r="E9" s="239">
        <f t="shared" si="2"/>
        <v>35875.00000000001</v>
      </c>
      <c r="F9" s="239"/>
      <c r="G9" s="239"/>
    </row>
    <row r="10" spans="1:8" ht="15">
      <c r="A10" s="240" t="s">
        <v>13</v>
      </c>
      <c r="B10" s="241">
        <v>90</v>
      </c>
      <c r="C10" s="242">
        <f t="shared" si="0"/>
        <v>2037500</v>
      </c>
      <c r="D10" s="243">
        <f t="shared" si="1"/>
        <v>12500</v>
      </c>
      <c r="E10" s="244">
        <f t="shared" si="2"/>
        <v>35656.25000000001</v>
      </c>
      <c r="F10" s="244"/>
      <c r="G10" s="244"/>
      <c r="H10" s="14">
        <v>50000</v>
      </c>
    </row>
    <row r="11" spans="1:7" ht="15">
      <c r="A11" s="240" t="s">
        <v>14</v>
      </c>
      <c r="B11" s="241">
        <v>90</v>
      </c>
      <c r="C11" s="242">
        <f t="shared" si="0"/>
        <v>2025000</v>
      </c>
      <c r="D11" s="243">
        <f t="shared" si="1"/>
        <v>12500</v>
      </c>
      <c r="E11" s="244">
        <f t="shared" si="2"/>
        <v>35437.50000000001</v>
      </c>
      <c r="F11" s="244"/>
      <c r="G11" s="244"/>
    </row>
    <row r="12" spans="1:7" ht="15.75" thickBot="1">
      <c r="A12" s="245" t="s">
        <v>15</v>
      </c>
      <c r="B12" s="246">
        <v>90</v>
      </c>
      <c r="C12" s="247">
        <f t="shared" si="0"/>
        <v>2012500</v>
      </c>
      <c r="D12" s="248">
        <f t="shared" si="1"/>
        <v>12500</v>
      </c>
      <c r="E12" s="249">
        <f t="shared" si="2"/>
        <v>35218.75000000001</v>
      </c>
      <c r="F12" s="249">
        <f>SUM(D9:D12)</f>
        <v>50000</v>
      </c>
      <c r="G12" s="249">
        <v>170188</v>
      </c>
    </row>
    <row r="13" spans="1:7" ht="15">
      <c r="A13" s="235" t="s">
        <v>16</v>
      </c>
      <c r="B13" s="236">
        <v>90</v>
      </c>
      <c r="C13" s="237">
        <f t="shared" si="0"/>
        <v>2000000</v>
      </c>
      <c r="D13" s="238">
        <f t="shared" si="1"/>
        <v>12500</v>
      </c>
      <c r="E13" s="239">
        <f t="shared" si="2"/>
        <v>35000.00000000001</v>
      </c>
      <c r="F13" s="239"/>
      <c r="G13" s="239"/>
    </row>
    <row r="14" spans="1:8" ht="15">
      <c r="A14" s="240" t="s">
        <v>17</v>
      </c>
      <c r="B14" s="241">
        <v>90</v>
      </c>
      <c r="C14" s="242">
        <f t="shared" si="0"/>
        <v>1987500</v>
      </c>
      <c r="D14" s="243">
        <f t="shared" si="1"/>
        <v>12500</v>
      </c>
      <c r="E14" s="244">
        <f t="shared" si="2"/>
        <v>34781.25000000001</v>
      </c>
      <c r="F14" s="244"/>
      <c r="G14" s="244"/>
      <c r="H14" s="14">
        <v>50000</v>
      </c>
    </row>
    <row r="15" spans="1:7" ht="15">
      <c r="A15" s="240" t="s">
        <v>18</v>
      </c>
      <c r="B15" s="241">
        <v>90</v>
      </c>
      <c r="C15" s="242">
        <f t="shared" si="0"/>
        <v>1975000</v>
      </c>
      <c r="D15" s="243">
        <f t="shared" si="1"/>
        <v>12500</v>
      </c>
      <c r="E15" s="244">
        <f t="shared" si="2"/>
        <v>34562.50000000001</v>
      </c>
      <c r="F15" s="244"/>
      <c r="G15" s="244"/>
    </row>
    <row r="16" spans="1:7" ht="15.75" thickBot="1">
      <c r="A16" s="245" t="s">
        <v>19</v>
      </c>
      <c r="B16" s="246">
        <v>90</v>
      </c>
      <c r="C16" s="247">
        <f t="shared" si="0"/>
        <v>1962500</v>
      </c>
      <c r="D16" s="248">
        <f t="shared" si="1"/>
        <v>12500</v>
      </c>
      <c r="E16" s="249">
        <f>B16*C16*0.07/360</f>
        <v>34343.75000000001</v>
      </c>
      <c r="F16" s="249">
        <f>SUM(D13:D16)</f>
        <v>50000</v>
      </c>
      <c r="G16" s="249">
        <v>166688</v>
      </c>
    </row>
    <row r="17" spans="1:7" ht="15">
      <c r="A17" s="235" t="s">
        <v>20</v>
      </c>
      <c r="B17" s="236">
        <v>90</v>
      </c>
      <c r="C17" s="237">
        <f t="shared" si="0"/>
        <v>1950000</v>
      </c>
      <c r="D17" s="238">
        <f t="shared" si="1"/>
        <v>12500</v>
      </c>
      <c r="E17" s="239">
        <f t="shared" si="2"/>
        <v>34125.00000000001</v>
      </c>
      <c r="F17" s="239"/>
      <c r="G17" s="239"/>
    </row>
    <row r="18" spans="1:8" ht="15">
      <c r="A18" s="240" t="s">
        <v>21</v>
      </c>
      <c r="B18" s="241">
        <v>90</v>
      </c>
      <c r="C18" s="242">
        <f t="shared" si="0"/>
        <v>1937500</v>
      </c>
      <c r="D18" s="243">
        <f t="shared" si="1"/>
        <v>12500</v>
      </c>
      <c r="E18" s="244">
        <f t="shared" si="2"/>
        <v>33906.25000000001</v>
      </c>
      <c r="F18" s="244"/>
      <c r="G18" s="244"/>
      <c r="H18" s="14">
        <v>50000</v>
      </c>
    </row>
    <row r="19" spans="1:8" s="17" customFormat="1" ht="15">
      <c r="A19" s="250" t="s">
        <v>22</v>
      </c>
      <c r="B19" s="251">
        <v>90</v>
      </c>
      <c r="C19" s="242">
        <f t="shared" si="0"/>
        <v>1925000</v>
      </c>
      <c r="D19" s="243">
        <f t="shared" si="1"/>
        <v>12500</v>
      </c>
      <c r="E19" s="244">
        <f t="shared" si="2"/>
        <v>33687.50000000001</v>
      </c>
      <c r="F19" s="252"/>
      <c r="G19" s="252"/>
      <c r="H19" s="16"/>
    </row>
    <row r="20" spans="1:7" s="17" customFormat="1" ht="15.75" thickBot="1">
      <c r="A20" s="256" t="s">
        <v>23</v>
      </c>
      <c r="B20" s="257">
        <v>90</v>
      </c>
      <c r="C20" s="258">
        <f t="shared" si="0"/>
        <v>1912500</v>
      </c>
      <c r="D20" s="259">
        <f t="shared" si="1"/>
        <v>12500</v>
      </c>
      <c r="E20" s="260">
        <f t="shared" si="2"/>
        <v>33468.75000000001</v>
      </c>
      <c r="F20" s="261">
        <f>SUM(D17:D20)</f>
        <v>50000</v>
      </c>
      <c r="G20" s="261">
        <v>163188</v>
      </c>
    </row>
    <row r="21" spans="1:7" ht="15">
      <c r="A21" s="235" t="s">
        <v>24</v>
      </c>
      <c r="B21" s="236">
        <v>90</v>
      </c>
      <c r="C21" s="237">
        <f t="shared" si="0"/>
        <v>1900000</v>
      </c>
      <c r="D21" s="238">
        <f t="shared" si="1"/>
        <v>12500</v>
      </c>
      <c r="E21" s="239">
        <f t="shared" si="2"/>
        <v>33250.00000000001</v>
      </c>
      <c r="F21" s="239"/>
      <c r="G21" s="239"/>
    </row>
    <row r="22" spans="1:8" ht="15">
      <c r="A22" s="240" t="s">
        <v>25</v>
      </c>
      <c r="B22" s="241">
        <v>90</v>
      </c>
      <c r="C22" s="242">
        <f t="shared" si="0"/>
        <v>1887500</v>
      </c>
      <c r="D22" s="243">
        <f t="shared" si="1"/>
        <v>12500</v>
      </c>
      <c r="E22" s="244">
        <f t="shared" si="2"/>
        <v>33031.25000000001</v>
      </c>
      <c r="F22" s="244"/>
      <c r="G22" s="244"/>
      <c r="H22" s="14">
        <v>50000</v>
      </c>
    </row>
    <row r="23" spans="1:7" ht="15">
      <c r="A23" s="240" t="s">
        <v>26</v>
      </c>
      <c r="B23" s="241">
        <v>90</v>
      </c>
      <c r="C23" s="242">
        <f t="shared" si="0"/>
        <v>1875000</v>
      </c>
      <c r="D23" s="243">
        <f t="shared" si="1"/>
        <v>12500</v>
      </c>
      <c r="E23" s="244">
        <f t="shared" si="2"/>
        <v>32812.50000000001</v>
      </c>
      <c r="F23" s="244"/>
      <c r="G23" s="244"/>
    </row>
    <row r="24" spans="1:7" ht="15.75" thickBot="1">
      <c r="A24" s="245" t="s">
        <v>27</v>
      </c>
      <c r="B24" s="246">
        <v>90</v>
      </c>
      <c r="C24" s="247">
        <f t="shared" si="0"/>
        <v>1862500</v>
      </c>
      <c r="D24" s="248">
        <f t="shared" si="1"/>
        <v>12500</v>
      </c>
      <c r="E24" s="249">
        <f t="shared" si="2"/>
        <v>32593.750000000004</v>
      </c>
      <c r="F24" s="249">
        <f>SUM(D21:D24)</f>
        <v>50000</v>
      </c>
      <c r="G24" s="249">
        <v>159688</v>
      </c>
    </row>
    <row r="25" spans="1:7" s="17" customFormat="1" ht="15">
      <c r="A25" s="262" t="s">
        <v>28</v>
      </c>
      <c r="B25" s="263">
        <v>90</v>
      </c>
      <c r="C25" s="264">
        <f t="shared" si="0"/>
        <v>1850000</v>
      </c>
      <c r="D25" s="238">
        <f t="shared" si="1"/>
        <v>12500</v>
      </c>
      <c r="E25" s="239">
        <f t="shared" si="2"/>
        <v>32375.000000000004</v>
      </c>
      <c r="F25" s="265"/>
      <c r="G25" s="265"/>
    </row>
    <row r="26" spans="1:8" s="17" customFormat="1" ht="15">
      <c r="A26" s="250" t="s">
        <v>29</v>
      </c>
      <c r="B26" s="251">
        <v>90</v>
      </c>
      <c r="C26" s="266">
        <f t="shared" si="0"/>
        <v>1837500</v>
      </c>
      <c r="D26" s="243"/>
      <c r="E26" s="244">
        <f t="shared" si="2"/>
        <v>32156.250000000004</v>
      </c>
      <c r="F26" s="252"/>
      <c r="G26" s="252"/>
      <c r="H26" s="18">
        <f>SUM(D25:D28)</f>
        <v>25000</v>
      </c>
    </row>
    <row r="27" spans="1:7" s="17" customFormat="1" ht="15">
      <c r="A27" s="250" t="s">
        <v>30</v>
      </c>
      <c r="B27" s="251">
        <v>90</v>
      </c>
      <c r="C27" s="266">
        <f t="shared" si="0"/>
        <v>1837500</v>
      </c>
      <c r="D27" s="243">
        <v>12500</v>
      </c>
      <c r="E27" s="244">
        <f t="shared" si="2"/>
        <v>32156.250000000004</v>
      </c>
      <c r="F27" s="252"/>
      <c r="G27" s="252"/>
    </row>
    <row r="28" spans="1:7" s="17" customFormat="1" ht="15.75" thickBot="1">
      <c r="A28" s="253" t="s">
        <v>31</v>
      </c>
      <c r="B28" s="254">
        <v>90</v>
      </c>
      <c r="C28" s="267">
        <f t="shared" si="0"/>
        <v>1825000</v>
      </c>
      <c r="D28" s="248"/>
      <c r="E28" s="249">
        <f t="shared" si="2"/>
        <v>31937.500000000004</v>
      </c>
      <c r="F28" s="255">
        <f>SUM(D25:D28)</f>
        <v>25000</v>
      </c>
      <c r="G28" s="255">
        <f>SUM(E25:E28)</f>
        <v>128625.00000000001</v>
      </c>
    </row>
    <row r="29" spans="1:8" ht="15">
      <c r="A29" s="235" t="s">
        <v>32</v>
      </c>
      <c r="B29" s="236">
        <v>90</v>
      </c>
      <c r="C29" s="237">
        <f t="shared" si="0"/>
        <v>1825000</v>
      </c>
      <c r="D29" s="238">
        <v>12500</v>
      </c>
      <c r="E29" s="239">
        <f t="shared" si="2"/>
        <v>31937.500000000004</v>
      </c>
      <c r="F29" s="239"/>
      <c r="G29" s="239"/>
      <c r="H29" s="233">
        <f>C29/12</f>
        <v>152083.33333333334</v>
      </c>
    </row>
    <row r="30" spans="1:8" ht="15">
      <c r="A30" s="240" t="s">
        <v>33</v>
      </c>
      <c r="B30" s="241">
        <v>90</v>
      </c>
      <c r="C30" s="242">
        <f t="shared" si="0"/>
        <v>1812500</v>
      </c>
      <c r="D30" s="243">
        <v>12500</v>
      </c>
      <c r="E30" s="244">
        <f t="shared" si="2"/>
        <v>31718.750000000004</v>
      </c>
      <c r="F30" s="244"/>
      <c r="G30" s="244"/>
      <c r="H30" s="14">
        <f>SUM(D29:D32)</f>
        <v>50528</v>
      </c>
    </row>
    <row r="31" spans="1:7" ht="15">
      <c r="A31" s="240" t="s">
        <v>34</v>
      </c>
      <c r="B31" s="241">
        <v>90</v>
      </c>
      <c r="C31" s="242">
        <f t="shared" si="0"/>
        <v>1800000</v>
      </c>
      <c r="D31" s="243">
        <v>13028</v>
      </c>
      <c r="E31" s="244">
        <f t="shared" si="2"/>
        <v>31500.000000000004</v>
      </c>
      <c r="F31" s="244"/>
      <c r="G31" s="244"/>
    </row>
    <row r="32" spans="1:7" ht="15.75" thickBot="1">
      <c r="A32" s="245" t="s">
        <v>35</v>
      </c>
      <c r="B32" s="246">
        <v>90</v>
      </c>
      <c r="C32" s="247">
        <f t="shared" si="0"/>
        <v>1786972</v>
      </c>
      <c r="D32" s="248">
        <v>12500</v>
      </c>
      <c r="E32" s="249">
        <f t="shared" si="2"/>
        <v>31272.010000000006</v>
      </c>
      <c r="F32" s="249">
        <f>SUM(D29:D32)</f>
        <v>50528</v>
      </c>
      <c r="G32" s="249">
        <f>SUM(E29:E32)</f>
        <v>126428.26000000002</v>
      </c>
    </row>
    <row r="33" spans="1:7" s="17" customFormat="1" ht="15">
      <c r="A33" s="262" t="s">
        <v>36</v>
      </c>
      <c r="B33" s="263">
        <v>90</v>
      </c>
      <c r="C33" s="264">
        <f t="shared" si="0"/>
        <v>1774472</v>
      </c>
      <c r="D33" s="268">
        <v>150000</v>
      </c>
      <c r="E33" s="265">
        <f t="shared" si="2"/>
        <v>31053.260000000006</v>
      </c>
      <c r="F33" s="265"/>
      <c r="G33" s="265"/>
    </row>
    <row r="34" spans="1:8" s="17" customFormat="1" ht="15">
      <c r="A34" s="250" t="s">
        <v>37</v>
      </c>
      <c r="B34" s="251">
        <v>90</v>
      </c>
      <c r="C34" s="266">
        <f t="shared" si="0"/>
        <v>1624472</v>
      </c>
      <c r="D34" s="269">
        <f>D33</f>
        <v>150000</v>
      </c>
      <c r="E34" s="252">
        <f t="shared" si="2"/>
        <v>28428.260000000006</v>
      </c>
      <c r="F34" s="252"/>
      <c r="G34" s="252"/>
      <c r="H34" s="18">
        <f>SUM(D33:D36)</f>
        <v>750523</v>
      </c>
    </row>
    <row r="35" spans="1:7" s="17" customFormat="1" ht="15">
      <c r="A35" s="250" t="s">
        <v>38</v>
      </c>
      <c r="B35" s="251">
        <v>90</v>
      </c>
      <c r="C35" s="266">
        <f t="shared" si="0"/>
        <v>1474472</v>
      </c>
      <c r="D35" s="269">
        <v>225000</v>
      </c>
      <c r="E35" s="252">
        <f t="shared" si="2"/>
        <v>25803.260000000006</v>
      </c>
      <c r="F35" s="252"/>
      <c r="G35" s="252"/>
    </row>
    <row r="36" spans="1:7" s="17" customFormat="1" ht="15.75" thickBot="1">
      <c r="A36" s="256" t="s">
        <v>39</v>
      </c>
      <c r="B36" s="257">
        <v>90</v>
      </c>
      <c r="C36" s="271">
        <f t="shared" si="0"/>
        <v>1249472</v>
      </c>
      <c r="D36" s="272">
        <v>225523</v>
      </c>
      <c r="E36" s="261">
        <f t="shared" si="2"/>
        <v>21865.760000000002</v>
      </c>
      <c r="F36" s="261">
        <f>SUM(D33:D36)</f>
        <v>750523</v>
      </c>
      <c r="G36" s="261">
        <f>SUM(E33:E36)</f>
        <v>107150.54000000001</v>
      </c>
    </row>
    <row r="37" spans="1:7" ht="15">
      <c r="A37" s="235" t="s">
        <v>40</v>
      </c>
      <c r="B37" s="236">
        <v>90</v>
      </c>
      <c r="C37" s="237">
        <f t="shared" si="0"/>
        <v>1023949</v>
      </c>
      <c r="D37" s="268">
        <v>150000</v>
      </c>
      <c r="E37" s="239">
        <f>B37*C37*0.07/360</f>
        <v>17919.107500000002</v>
      </c>
      <c r="F37" s="239"/>
      <c r="G37" s="239"/>
    </row>
    <row r="38" spans="1:8" ht="15">
      <c r="A38" s="240" t="s">
        <v>41</v>
      </c>
      <c r="B38" s="241">
        <v>90</v>
      </c>
      <c r="C38" s="242">
        <f t="shared" si="0"/>
        <v>873949</v>
      </c>
      <c r="D38" s="269">
        <v>150000</v>
      </c>
      <c r="E38" s="244">
        <f t="shared" si="2"/>
        <v>15294.1075</v>
      </c>
      <c r="F38" s="244"/>
      <c r="G38" s="244"/>
      <c r="H38" s="14">
        <f>SUM(D37:D40)</f>
        <v>600000</v>
      </c>
    </row>
    <row r="39" spans="1:7" ht="15">
      <c r="A39" s="240" t="s">
        <v>42</v>
      </c>
      <c r="B39" s="241">
        <v>90</v>
      </c>
      <c r="C39" s="242">
        <f t="shared" si="0"/>
        <v>723949</v>
      </c>
      <c r="D39" s="269">
        <v>150000</v>
      </c>
      <c r="E39" s="244">
        <f t="shared" si="2"/>
        <v>12669.1075</v>
      </c>
      <c r="F39" s="244"/>
      <c r="G39" s="244"/>
    </row>
    <row r="40" spans="1:7" ht="15.75" thickBot="1">
      <c r="A40" s="245" t="s">
        <v>43</v>
      </c>
      <c r="B40" s="246">
        <v>90</v>
      </c>
      <c r="C40" s="247">
        <f>C39-D39</f>
        <v>573949</v>
      </c>
      <c r="D40" s="270">
        <f>D39</f>
        <v>150000</v>
      </c>
      <c r="E40" s="249">
        <f t="shared" si="2"/>
        <v>10044.1075</v>
      </c>
      <c r="F40" s="249">
        <f>SUM(D37:D40)</f>
        <v>600000</v>
      </c>
      <c r="G40" s="249">
        <f>SUM(E37:E40)</f>
        <v>55926.43</v>
      </c>
    </row>
    <row r="41" spans="1:7" ht="15">
      <c r="A41" s="235" t="s">
        <v>44</v>
      </c>
      <c r="B41" s="236">
        <v>90</v>
      </c>
      <c r="C41" s="237">
        <f>C40-D40</f>
        <v>423949</v>
      </c>
      <c r="D41" s="268">
        <v>100000</v>
      </c>
      <c r="E41" s="239">
        <f>B41*C41*0.07/360</f>
        <v>7419.1075</v>
      </c>
      <c r="F41" s="239"/>
      <c r="G41" s="239"/>
    </row>
    <row r="42" spans="1:8" ht="15">
      <c r="A42" s="240" t="s">
        <v>45</v>
      </c>
      <c r="B42" s="241">
        <v>90</v>
      </c>
      <c r="C42" s="242">
        <f>C41-D41</f>
        <v>323949</v>
      </c>
      <c r="D42" s="269">
        <v>100000</v>
      </c>
      <c r="E42" s="244">
        <f>B42*C42*0.07/360</f>
        <v>5669.1075</v>
      </c>
      <c r="F42" s="244"/>
      <c r="G42" s="244"/>
      <c r="H42" s="14">
        <f>SUM(D41:D44)</f>
        <v>423949</v>
      </c>
    </row>
    <row r="43" spans="1:7" ht="15">
      <c r="A43" s="240" t="s">
        <v>46</v>
      </c>
      <c r="B43" s="241">
        <v>90</v>
      </c>
      <c r="C43" s="242">
        <f>C42-D42</f>
        <v>223949</v>
      </c>
      <c r="D43" s="269">
        <v>123949</v>
      </c>
      <c r="E43" s="244">
        <f>B43*C43*0.07/360</f>
        <v>3919.1075000000005</v>
      </c>
      <c r="F43" s="244"/>
      <c r="G43" s="244"/>
    </row>
    <row r="44" spans="1:7" ht="15.75" thickBot="1">
      <c r="A44" s="245" t="s">
        <v>47</v>
      </c>
      <c r="B44" s="246">
        <v>90</v>
      </c>
      <c r="C44" s="247">
        <f>C43-D43</f>
        <v>100000</v>
      </c>
      <c r="D44" s="270">
        <v>100000</v>
      </c>
      <c r="E44" s="249">
        <f>B44*C44*0.07/360</f>
        <v>1750.0000000000002</v>
      </c>
      <c r="F44" s="249">
        <f>SUM(D41:D44)</f>
        <v>423949</v>
      </c>
      <c r="G44" s="249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17">
      <selection activeCell="H50" sqref="H5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57" t="s">
        <v>219</v>
      </c>
      <c r="B1" s="557"/>
      <c r="C1" s="557"/>
      <c r="D1" s="557"/>
      <c r="E1" s="557"/>
      <c r="F1" s="557"/>
      <c r="G1" s="564"/>
      <c r="H1" s="560" t="s">
        <v>224</v>
      </c>
      <c r="I1" s="562" t="s">
        <v>223</v>
      </c>
      <c r="J1" s="558" t="s">
        <v>221</v>
      </c>
      <c r="K1" s="559"/>
    </row>
    <row r="2" spans="1:11" ht="24" customHeight="1" thickBot="1">
      <c r="A2" s="565"/>
      <c r="B2" s="565"/>
      <c r="C2" s="565"/>
      <c r="D2" s="565"/>
      <c r="E2" s="565"/>
      <c r="F2" s="565"/>
      <c r="G2" s="566"/>
      <c r="H2" s="561"/>
      <c r="I2" s="563"/>
      <c r="J2" s="311" t="s">
        <v>225</v>
      </c>
      <c r="K2" s="312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73" t="s">
        <v>5</v>
      </c>
      <c r="H3" s="283"/>
      <c r="I3" s="283"/>
      <c r="J3" s="313"/>
      <c r="K3" s="313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74"/>
      <c r="H4" s="284">
        <v>2000000</v>
      </c>
      <c r="I4" s="284">
        <v>1265000</v>
      </c>
      <c r="J4" s="303">
        <f>H4+F4</f>
        <v>2000000</v>
      </c>
      <c r="K4" s="303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234">
        <f>B5*C5*5.5%/360</f>
        <v>158125</v>
      </c>
      <c r="F5" s="234">
        <v>0</v>
      </c>
      <c r="G5" s="275">
        <f>E4+E5</f>
        <v>158125</v>
      </c>
      <c r="H5" s="283"/>
      <c r="I5" s="283"/>
      <c r="J5" s="313"/>
      <c r="K5" s="313"/>
    </row>
    <row r="6" spans="1:11" s="2" customFormat="1" ht="15">
      <c r="A6" s="235" t="s">
        <v>8</v>
      </c>
      <c r="B6" s="236">
        <v>90</v>
      </c>
      <c r="C6" s="237">
        <v>18400000</v>
      </c>
      <c r="D6" s="238"/>
      <c r="E6" s="239">
        <f>B6*C6*0.07/360</f>
        <v>322000.00000000006</v>
      </c>
      <c r="F6" s="239"/>
      <c r="G6" s="276"/>
      <c r="H6" s="285"/>
      <c r="I6" s="285"/>
      <c r="J6" s="314"/>
      <c r="K6" s="314"/>
    </row>
    <row r="7" spans="1:11" ht="15">
      <c r="A7" s="240" t="s">
        <v>9</v>
      </c>
      <c r="B7" s="241">
        <v>90</v>
      </c>
      <c r="C7" s="242">
        <f aca="true" t="shared" si="0" ref="C7:C40">C6-D6</f>
        <v>18400000</v>
      </c>
      <c r="D7" s="243"/>
      <c r="E7" s="244">
        <f>B7*C7*0.07/360</f>
        <v>322000.00000000006</v>
      </c>
      <c r="F7" s="244"/>
      <c r="G7" s="277"/>
      <c r="H7" s="284">
        <f>SUM(D6:D9)</f>
        <v>0</v>
      </c>
      <c r="I7" s="283"/>
      <c r="J7" s="313"/>
      <c r="K7" s="313"/>
    </row>
    <row r="8" spans="1:11" ht="15">
      <c r="A8" s="240" t="s">
        <v>10</v>
      </c>
      <c r="B8" s="241">
        <v>90</v>
      </c>
      <c r="C8" s="242">
        <f t="shared" si="0"/>
        <v>18400000</v>
      </c>
      <c r="D8" s="243"/>
      <c r="E8" s="244">
        <f aca="true" t="shared" si="1" ref="E8:E41">B8*C8*0.07/360</f>
        <v>322000.00000000006</v>
      </c>
      <c r="F8" s="244"/>
      <c r="G8" s="277"/>
      <c r="H8" s="283"/>
      <c r="I8" s="283"/>
      <c r="J8" s="313"/>
      <c r="K8" s="313"/>
    </row>
    <row r="9" spans="1:11" ht="15.75" thickBot="1">
      <c r="A9" s="245" t="s">
        <v>11</v>
      </c>
      <c r="B9" s="246">
        <v>90</v>
      </c>
      <c r="C9" s="247">
        <f t="shared" si="0"/>
        <v>18400000</v>
      </c>
      <c r="D9" s="248"/>
      <c r="E9" s="249">
        <f t="shared" si="1"/>
        <v>322000.00000000006</v>
      </c>
      <c r="F9" s="249">
        <f>D7+D8+D9+D6</f>
        <v>0</v>
      </c>
      <c r="G9" s="278">
        <f>SUM(E6:E9)</f>
        <v>1288000.0000000002</v>
      </c>
      <c r="H9" s="284">
        <v>3000000</v>
      </c>
      <c r="I9" s="284">
        <v>1155000</v>
      </c>
      <c r="J9" s="303">
        <f>H9+F9</f>
        <v>3000000</v>
      </c>
      <c r="K9" s="303">
        <f>I9+G9</f>
        <v>2443000</v>
      </c>
    </row>
    <row r="10" spans="1:11" ht="15">
      <c r="A10" s="235" t="s">
        <v>12</v>
      </c>
      <c r="B10" s="236">
        <v>90</v>
      </c>
      <c r="C10" s="237">
        <f t="shared" si="0"/>
        <v>18400000</v>
      </c>
      <c r="D10" s="238"/>
      <c r="E10" s="239">
        <f t="shared" si="1"/>
        <v>322000.00000000006</v>
      </c>
      <c r="F10" s="239"/>
      <c r="G10" s="276"/>
      <c r="H10" s="283"/>
      <c r="I10" s="283"/>
      <c r="J10" s="303">
        <f aca="true" t="shared" si="2" ref="J10:J45">H10+F10</f>
        <v>0</v>
      </c>
      <c r="K10" s="303">
        <f aca="true" t="shared" si="3" ref="K10:K45">I10+G10</f>
        <v>0</v>
      </c>
    </row>
    <row r="11" spans="1:11" ht="15">
      <c r="A11" s="240" t="s">
        <v>13</v>
      </c>
      <c r="B11" s="241">
        <v>90</v>
      </c>
      <c r="C11" s="242">
        <f t="shared" si="0"/>
        <v>18400000</v>
      </c>
      <c r="D11" s="243"/>
      <c r="E11" s="244">
        <f t="shared" si="1"/>
        <v>322000.00000000006</v>
      </c>
      <c r="F11" s="244"/>
      <c r="G11" s="277"/>
      <c r="H11" s="284"/>
      <c r="I11" s="283"/>
      <c r="J11" s="303">
        <f t="shared" si="2"/>
        <v>0</v>
      </c>
      <c r="K11" s="303">
        <f t="shared" si="3"/>
        <v>0</v>
      </c>
    </row>
    <row r="12" spans="1:11" ht="15">
      <c r="A12" s="240" t="s">
        <v>14</v>
      </c>
      <c r="B12" s="241">
        <v>90</v>
      </c>
      <c r="C12" s="242">
        <f t="shared" si="0"/>
        <v>18400000</v>
      </c>
      <c r="D12" s="243"/>
      <c r="E12" s="244">
        <f t="shared" si="1"/>
        <v>322000.00000000006</v>
      </c>
      <c r="F12" s="244"/>
      <c r="G12" s="277"/>
      <c r="H12" s="283"/>
      <c r="I12" s="283"/>
      <c r="J12" s="303">
        <f t="shared" si="2"/>
        <v>0</v>
      </c>
      <c r="K12" s="303">
        <f t="shared" si="3"/>
        <v>0</v>
      </c>
    </row>
    <row r="13" spans="1:11" ht="15.75" thickBot="1">
      <c r="A13" s="245" t="s">
        <v>15</v>
      </c>
      <c r="B13" s="246">
        <v>90</v>
      </c>
      <c r="C13" s="247">
        <f t="shared" si="0"/>
        <v>18400000</v>
      </c>
      <c r="D13" s="248"/>
      <c r="E13" s="249">
        <f t="shared" si="1"/>
        <v>322000.00000000006</v>
      </c>
      <c r="F13" s="249">
        <f>SUM(D10:D13)</f>
        <v>0</v>
      </c>
      <c r="G13" s="278">
        <f>SUM(E10:E13)</f>
        <v>1288000.0000000002</v>
      </c>
      <c r="H13" s="284">
        <v>3000000</v>
      </c>
      <c r="I13" s="284">
        <v>990000</v>
      </c>
      <c r="J13" s="303">
        <f>H13+F13</f>
        <v>3000000</v>
      </c>
      <c r="K13" s="303">
        <f t="shared" si="3"/>
        <v>2278000</v>
      </c>
    </row>
    <row r="14" spans="1:11" ht="15">
      <c r="A14" s="235" t="s">
        <v>16</v>
      </c>
      <c r="B14" s="236">
        <v>90</v>
      </c>
      <c r="C14" s="237">
        <f t="shared" si="0"/>
        <v>18400000</v>
      </c>
      <c r="D14" s="238"/>
      <c r="E14" s="239">
        <f t="shared" si="1"/>
        <v>322000.00000000006</v>
      </c>
      <c r="F14" s="239"/>
      <c r="G14" s="276"/>
      <c r="H14" s="283"/>
      <c r="I14" s="284"/>
      <c r="J14" s="303">
        <f t="shared" si="2"/>
        <v>0</v>
      </c>
      <c r="K14" s="303">
        <f t="shared" si="3"/>
        <v>0</v>
      </c>
    </row>
    <row r="15" spans="1:11" ht="15">
      <c r="A15" s="240" t="s">
        <v>17</v>
      </c>
      <c r="B15" s="241">
        <v>90</v>
      </c>
      <c r="C15" s="242">
        <f t="shared" si="0"/>
        <v>18400000</v>
      </c>
      <c r="D15" s="243"/>
      <c r="E15" s="244">
        <f t="shared" si="1"/>
        <v>322000.00000000006</v>
      </c>
      <c r="F15" s="244"/>
      <c r="G15" s="277"/>
      <c r="H15" s="284"/>
      <c r="I15" s="283"/>
      <c r="J15" s="303">
        <f t="shared" si="2"/>
        <v>0</v>
      </c>
      <c r="K15" s="303">
        <f t="shared" si="3"/>
        <v>0</v>
      </c>
    </row>
    <row r="16" spans="1:11" ht="15">
      <c r="A16" s="240" t="s">
        <v>18</v>
      </c>
      <c r="B16" s="241">
        <v>90</v>
      </c>
      <c r="C16" s="242">
        <f t="shared" si="0"/>
        <v>18400000</v>
      </c>
      <c r="D16" s="243"/>
      <c r="E16" s="244">
        <f t="shared" si="1"/>
        <v>322000.00000000006</v>
      </c>
      <c r="F16" s="244"/>
      <c r="G16" s="277"/>
      <c r="H16" s="283"/>
      <c r="I16" s="283"/>
      <c r="J16" s="303">
        <f t="shared" si="2"/>
        <v>0</v>
      </c>
      <c r="K16" s="303">
        <f t="shared" si="3"/>
        <v>0</v>
      </c>
    </row>
    <row r="17" spans="1:11" ht="15.75" thickBot="1">
      <c r="A17" s="245" t="s">
        <v>19</v>
      </c>
      <c r="B17" s="246">
        <v>90</v>
      </c>
      <c r="C17" s="247">
        <f t="shared" si="0"/>
        <v>18400000</v>
      </c>
      <c r="D17" s="248"/>
      <c r="E17" s="249">
        <f t="shared" si="1"/>
        <v>322000.00000000006</v>
      </c>
      <c r="F17" s="249">
        <f>SUM(D14:D17)</f>
        <v>0</v>
      </c>
      <c r="G17" s="278">
        <f>SUM(E14:E17)</f>
        <v>1288000.0000000002</v>
      </c>
      <c r="H17" s="284">
        <v>3000000</v>
      </c>
      <c r="I17" s="284">
        <v>825000</v>
      </c>
      <c r="J17" s="303">
        <f t="shared" si="2"/>
        <v>3000000</v>
      </c>
      <c r="K17" s="303">
        <f t="shared" si="3"/>
        <v>2113000</v>
      </c>
    </row>
    <row r="18" spans="1:30" ht="15">
      <c r="A18" s="235" t="s">
        <v>20</v>
      </c>
      <c r="B18" s="236">
        <v>90</v>
      </c>
      <c r="C18" s="237">
        <f t="shared" si="0"/>
        <v>18400000</v>
      </c>
      <c r="D18" s="238"/>
      <c r="E18" s="239">
        <f t="shared" si="1"/>
        <v>322000.00000000006</v>
      </c>
      <c r="F18" s="239"/>
      <c r="G18" s="276"/>
      <c r="H18" s="283"/>
      <c r="I18" s="283"/>
      <c r="J18" s="303">
        <f t="shared" si="2"/>
        <v>0</v>
      </c>
      <c r="K18" s="303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40" t="s">
        <v>21</v>
      </c>
      <c r="B19" s="241">
        <v>90</v>
      </c>
      <c r="C19" s="242">
        <f t="shared" si="0"/>
        <v>18400000</v>
      </c>
      <c r="D19" s="243"/>
      <c r="E19" s="244">
        <f t="shared" si="1"/>
        <v>322000.00000000006</v>
      </c>
      <c r="F19" s="244"/>
      <c r="G19" s="277"/>
      <c r="H19" s="284"/>
      <c r="I19" s="283"/>
      <c r="J19" s="303">
        <f t="shared" si="2"/>
        <v>0</v>
      </c>
      <c r="K19" s="303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50" t="s">
        <v>22</v>
      </c>
      <c r="B20" s="251">
        <v>90</v>
      </c>
      <c r="C20" s="242">
        <f t="shared" si="0"/>
        <v>18400000</v>
      </c>
      <c r="D20" s="243"/>
      <c r="E20" s="244">
        <f t="shared" si="1"/>
        <v>322000.00000000006</v>
      </c>
      <c r="F20" s="252"/>
      <c r="G20" s="279"/>
      <c r="H20" s="286"/>
      <c r="I20" s="287"/>
      <c r="J20" s="303">
        <f t="shared" si="2"/>
        <v>0</v>
      </c>
      <c r="K20" s="303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53" t="s">
        <v>23</v>
      </c>
      <c r="B21" s="254">
        <v>90</v>
      </c>
      <c r="C21" s="247">
        <f t="shared" si="0"/>
        <v>18400000</v>
      </c>
      <c r="D21" s="248"/>
      <c r="E21" s="249">
        <f t="shared" si="1"/>
        <v>322000.00000000006</v>
      </c>
      <c r="F21" s="255">
        <f>SUM(D18:D21)</f>
        <v>0</v>
      </c>
      <c r="G21" s="280">
        <f>SUM(E18:E21)</f>
        <v>1288000.0000000002</v>
      </c>
      <c r="H21" s="284">
        <v>3000000</v>
      </c>
      <c r="I21" s="288">
        <v>660000</v>
      </c>
      <c r="J21" s="303">
        <f t="shared" si="2"/>
        <v>3000000</v>
      </c>
      <c r="K21" s="303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35" t="s">
        <v>24</v>
      </c>
      <c r="B22" s="236">
        <v>90</v>
      </c>
      <c r="C22" s="237">
        <f t="shared" si="0"/>
        <v>18400000</v>
      </c>
      <c r="D22" s="238"/>
      <c r="E22" s="239">
        <f t="shared" si="1"/>
        <v>322000.00000000006</v>
      </c>
      <c r="F22" s="239"/>
      <c r="G22" s="276"/>
      <c r="H22" s="283"/>
      <c r="I22" s="283"/>
      <c r="J22" s="303">
        <f t="shared" si="2"/>
        <v>0</v>
      </c>
      <c r="K22" s="303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40" t="s">
        <v>25</v>
      </c>
      <c r="B23" s="241">
        <v>90</v>
      </c>
      <c r="C23" s="242">
        <f t="shared" si="0"/>
        <v>18400000</v>
      </c>
      <c r="D23" s="243"/>
      <c r="E23" s="244">
        <f t="shared" si="1"/>
        <v>322000.00000000006</v>
      </c>
      <c r="F23" s="244"/>
      <c r="G23" s="277"/>
      <c r="H23" s="284"/>
      <c r="I23" s="283"/>
      <c r="J23" s="303">
        <f t="shared" si="2"/>
        <v>0</v>
      </c>
      <c r="K23" s="303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40" t="s">
        <v>26</v>
      </c>
      <c r="B24" s="241">
        <v>90</v>
      </c>
      <c r="C24" s="242">
        <f t="shared" si="0"/>
        <v>18400000</v>
      </c>
      <c r="D24" s="243"/>
      <c r="E24" s="244">
        <f t="shared" si="1"/>
        <v>322000.00000000006</v>
      </c>
      <c r="F24" s="244"/>
      <c r="G24" s="277"/>
      <c r="H24" s="283"/>
      <c r="I24" s="283"/>
      <c r="J24" s="303">
        <f t="shared" si="2"/>
        <v>0</v>
      </c>
      <c r="K24" s="303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45" t="s">
        <v>27</v>
      </c>
      <c r="B25" s="246">
        <v>90</v>
      </c>
      <c r="C25" s="247">
        <f t="shared" si="0"/>
        <v>18400000</v>
      </c>
      <c r="D25" s="248"/>
      <c r="E25" s="249">
        <f t="shared" si="1"/>
        <v>322000.00000000006</v>
      </c>
      <c r="F25" s="249">
        <f>SUM(D22:D25)</f>
        <v>0</v>
      </c>
      <c r="G25" s="278">
        <f>SUM(E22:E25)</f>
        <v>1288000.0000000002</v>
      </c>
      <c r="H25" s="284">
        <v>3000000</v>
      </c>
      <c r="I25" s="284">
        <v>495000</v>
      </c>
      <c r="J25" s="303">
        <f t="shared" si="2"/>
        <v>3000000</v>
      </c>
      <c r="K25" s="303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62" t="s">
        <v>28</v>
      </c>
      <c r="B26" s="263">
        <v>90</v>
      </c>
      <c r="C26" s="264">
        <f t="shared" si="0"/>
        <v>18400000</v>
      </c>
      <c r="D26" s="238"/>
      <c r="E26" s="239">
        <f t="shared" si="1"/>
        <v>322000.00000000006</v>
      </c>
      <c r="F26" s="265"/>
      <c r="G26" s="281"/>
      <c r="H26" s="287"/>
      <c r="I26" s="287"/>
      <c r="J26" s="303">
        <f t="shared" si="2"/>
        <v>0</v>
      </c>
      <c r="K26" s="303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50" t="s">
        <v>29</v>
      </c>
      <c r="B27" s="251">
        <v>90</v>
      </c>
      <c r="C27" s="266">
        <f t="shared" si="0"/>
        <v>18400000</v>
      </c>
      <c r="D27" s="243"/>
      <c r="E27" s="244">
        <f t="shared" si="1"/>
        <v>322000.00000000006</v>
      </c>
      <c r="F27" s="252"/>
      <c r="G27" s="279"/>
      <c r="H27" s="288"/>
      <c r="I27" s="287"/>
      <c r="J27" s="303">
        <f t="shared" si="2"/>
        <v>0</v>
      </c>
      <c r="K27" s="303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50" t="s">
        <v>30</v>
      </c>
      <c r="B28" s="251">
        <v>90</v>
      </c>
      <c r="C28" s="266">
        <f t="shared" si="0"/>
        <v>18400000</v>
      </c>
      <c r="D28" s="243"/>
      <c r="E28" s="244">
        <f t="shared" si="1"/>
        <v>322000.00000000006</v>
      </c>
      <c r="F28" s="252"/>
      <c r="G28" s="279"/>
      <c r="H28" s="287"/>
      <c r="I28" s="287"/>
      <c r="J28" s="303">
        <f t="shared" si="2"/>
        <v>0</v>
      </c>
      <c r="K28" s="303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56" t="s">
        <v>31</v>
      </c>
      <c r="B29" s="257">
        <v>90</v>
      </c>
      <c r="C29" s="271">
        <f t="shared" si="0"/>
        <v>18400000</v>
      </c>
      <c r="D29" s="259"/>
      <c r="E29" s="260">
        <f t="shared" si="1"/>
        <v>322000.00000000006</v>
      </c>
      <c r="F29" s="261">
        <f>SUM(D26:D29)</f>
        <v>0</v>
      </c>
      <c r="G29" s="282">
        <f>SUM(E26:E29)</f>
        <v>1288000.0000000002</v>
      </c>
      <c r="H29" s="284">
        <v>3000000</v>
      </c>
      <c r="I29" s="288">
        <v>360000</v>
      </c>
      <c r="J29" s="303">
        <f t="shared" si="2"/>
        <v>3000000</v>
      </c>
      <c r="K29" s="303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35" t="s">
        <v>32</v>
      </c>
      <c r="B30" s="236">
        <v>90</v>
      </c>
      <c r="C30" s="237">
        <f t="shared" si="0"/>
        <v>18400000</v>
      </c>
      <c r="D30" s="238">
        <v>500000</v>
      </c>
      <c r="E30" s="239">
        <f t="shared" si="1"/>
        <v>322000.00000000006</v>
      </c>
      <c r="F30" s="239"/>
      <c r="G30" s="276"/>
      <c r="H30" s="289"/>
      <c r="I30" s="283"/>
      <c r="J30" s="303">
        <f t="shared" si="2"/>
        <v>0</v>
      </c>
      <c r="K30" s="303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40" t="s">
        <v>33</v>
      </c>
      <c r="B31" s="241">
        <v>90</v>
      </c>
      <c r="C31" s="242">
        <f t="shared" si="0"/>
        <v>17900000</v>
      </c>
      <c r="D31" s="243">
        <v>500000</v>
      </c>
      <c r="E31" s="244">
        <f t="shared" si="1"/>
        <v>313250.00000000006</v>
      </c>
      <c r="F31" s="244"/>
      <c r="G31" s="277"/>
      <c r="H31" s="284"/>
      <c r="I31" s="283"/>
      <c r="J31" s="303">
        <f t="shared" si="2"/>
        <v>0</v>
      </c>
      <c r="K31" s="303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40" t="s">
        <v>34</v>
      </c>
      <c r="B32" s="241">
        <v>90</v>
      </c>
      <c r="C32" s="242">
        <f t="shared" si="0"/>
        <v>17400000</v>
      </c>
      <c r="D32" s="243">
        <v>500000</v>
      </c>
      <c r="E32" s="244">
        <f t="shared" si="1"/>
        <v>304500.00000000006</v>
      </c>
      <c r="F32" s="244"/>
      <c r="G32" s="277"/>
      <c r="H32" s="283"/>
      <c r="I32" s="283"/>
      <c r="J32" s="303">
        <f t="shared" si="2"/>
        <v>0</v>
      </c>
      <c r="K32" s="303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45" t="s">
        <v>35</v>
      </c>
      <c r="B33" s="246">
        <v>90</v>
      </c>
      <c r="C33" s="247">
        <f t="shared" si="0"/>
        <v>16900000</v>
      </c>
      <c r="D33" s="248">
        <v>500000</v>
      </c>
      <c r="E33" s="249">
        <f t="shared" si="1"/>
        <v>295750.00000000006</v>
      </c>
      <c r="F33" s="249">
        <f>SUM(D30:D33)</f>
        <v>2000000</v>
      </c>
      <c r="G33" s="278">
        <f>SUM(E30:E33)</f>
        <v>1235500.0000000002</v>
      </c>
      <c r="H33" s="284">
        <v>3000000</v>
      </c>
      <c r="I33" s="284">
        <v>180000</v>
      </c>
      <c r="J33" s="303">
        <f t="shared" si="2"/>
        <v>5000000</v>
      </c>
      <c r="K33" s="303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62" t="s">
        <v>36</v>
      </c>
      <c r="B34" s="263">
        <v>90</v>
      </c>
      <c r="C34" s="264">
        <f t="shared" si="0"/>
        <v>16400000</v>
      </c>
      <c r="D34" s="268">
        <v>1475000</v>
      </c>
      <c r="E34" s="265">
        <f t="shared" si="1"/>
        <v>287000.00000000006</v>
      </c>
      <c r="F34" s="265"/>
      <c r="G34" s="281"/>
      <c r="H34" s="287"/>
      <c r="I34" s="287"/>
      <c r="J34" s="303">
        <f t="shared" si="2"/>
        <v>0</v>
      </c>
      <c r="K34" s="303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50" t="s">
        <v>37</v>
      </c>
      <c r="B35" s="251">
        <v>90</v>
      </c>
      <c r="C35" s="266">
        <f t="shared" si="0"/>
        <v>14925000</v>
      </c>
      <c r="D35" s="269">
        <f>D34</f>
        <v>1475000</v>
      </c>
      <c r="E35" s="252">
        <f t="shared" si="1"/>
        <v>261187.50000000003</v>
      </c>
      <c r="F35" s="252"/>
      <c r="G35" s="279"/>
      <c r="H35" s="288"/>
      <c r="I35" s="287"/>
      <c r="J35" s="303">
        <f t="shared" si="2"/>
        <v>0</v>
      </c>
      <c r="K35" s="303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50" t="s">
        <v>38</v>
      </c>
      <c r="B36" s="251">
        <v>90</v>
      </c>
      <c r="C36" s="266">
        <f t="shared" si="0"/>
        <v>13450000</v>
      </c>
      <c r="D36" s="269">
        <v>1725000</v>
      </c>
      <c r="E36" s="252">
        <f t="shared" si="1"/>
        <v>235375.00000000003</v>
      </c>
      <c r="F36" s="252"/>
      <c r="G36" s="279"/>
      <c r="H36" s="287"/>
      <c r="I36" s="287"/>
      <c r="J36" s="303">
        <f t="shared" si="2"/>
        <v>0</v>
      </c>
      <c r="K36" s="303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53" t="s">
        <v>39</v>
      </c>
      <c r="B37" s="254">
        <v>90</v>
      </c>
      <c r="C37" s="267">
        <f t="shared" si="0"/>
        <v>11725000</v>
      </c>
      <c r="D37" s="270">
        <v>1925000</v>
      </c>
      <c r="E37" s="255">
        <f t="shared" si="1"/>
        <v>205187.5</v>
      </c>
      <c r="F37" s="255">
        <f>SUM(D34:D37)</f>
        <v>6600000</v>
      </c>
      <c r="G37" s="280">
        <f>SUM(E34:E37)</f>
        <v>988750.0000000001</v>
      </c>
      <c r="H37" s="284"/>
      <c r="I37" s="287"/>
      <c r="J37" s="303">
        <f t="shared" si="2"/>
        <v>6600000</v>
      </c>
      <c r="K37" s="303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35" t="s">
        <v>40</v>
      </c>
      <c r="B38" s="236">
        <v>90</v>
      </c>
      <c r="C38" s="237">
        <f t="shared" si="0"/>
        <v>9800000</v>
      </c>
      <c r="D38" s="268">
        <v>1250000</v>
      </c>
      <c r="E38" s="239">
        <f>B38*C38*0.07/360</f>
        <v>171500.00000000003</v>
      </c>
      <c r="F38" s="239"/>
      <c r="G38" s="276"/>
      <c r="H38" s="283"/>
      <c r="I38" s="283"/>
      <c r="J38" s="303">
        <f t="shared" si="2"/>
        <v>0</v>
      </c>
      <c r="K38" s="303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40" t="s">
        <v>41</v>
      </c>
      <c r="B39" s="241">
        <v>90</v>
      </c>
      <c r="C39" s="242">
        <f t="shared" si="0"/>
        <v>8550000</v>
      </c>
      <c r="D39" s="269">
        <f>D38</f>
        <v>1250000</v>
      </c>
      <c r="E39" s="244">
        <f t="shared" si="1"/>
        <v>149625.00000000003</v>
      </c>
      <c r="F39" s="244"/>
      <c r="G39" s="277"/>
      <c r="H39" s="284"/>
      <c r="I39" s="283"/>
      <c r="J39" s="303">
        <f t="shared" si="2"/>
        <v>0</v>
      </c>
      <c r="K39" s="303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40" t="s">
        <v>42</v>
      </c>
      <c r="B40" s="241">
        <v>90</v>
      </c>
      <c r="C40" s="242">
        <f t="shared" si="0"/>
        <v>7300000</v>
      </c>
      <c r="D40" s="269">
        <v>1500000</v>
      </c>
      <c r="E40" s="244">
        <f t="shared" si="1"/>
        <v>127750.00000000001</v>
      </c>
      <c r="F40" s="244"/>
      <c r="G40" s="277"/>
      <c r="H40" s="283"/>
      <c r="I40" s="283"/>
      <c r="J40" s="303">
        <f t="shared" si="2"/>
        <v>0</v>
      </c>
      <c r="K40" s="303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45" t="s">
        <v>43</v>
      </c>
      <c r="B41" s="246">
        <v>90</v>
      </c>
      <c r="C41" s="247">
        <f aca="true" t="shared" si="4" ref="C41:C49">C40-D40</f>
        <v>5800000</v>
      </c>
      <c r="D41" s="270">
        <v>1700000</v>
      </c>
      <c r="E41" s="249">
        <f t="shared" si="1"/>
        <v>101500</v>
      </c>
      <c r="F41" s="249">
        <f>SUM(D38:D41)</f>
        <v>5700000</v>
      </c>
      <c r="G41" s="278">
        <f>SUM(E38:E41)</f>
        <v>550375</v>
      </c>
      <c r="H41" s="284"/>
      <c r="I41" s="283"/>
      <c r="J41" s="303">
        <f t="shared" si="2"/>
        <v>5700000</v>
      </c>
      <c r="K41" s="303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35" t="s">
        <v>44</v>
      </c>
      <c r="B42" s="236">
        <v>90</v>
      </c>
      <c r="C42" s="237">
        <f t="shared" si="4"/>
        <v>4100000</v>
      </c>
      <c r="D42" s="268">
        <v>1100000</v>
      </c>
      <c r="E42" s="239">
        <f aca="true" t="shared" si="5" ref="E42:E49">B42*C42*0.07/360</f>
        <v>71750.00000000001</v>
      </c>
      <c r="F42" s="239"/>
      <c r="G42" s="276"/>
      <c r="H42" s="283"/>
      <c r="I42" s="283"/>
      <c r="J42" s="303">
        <f t="shared" si="2"/>
        <v>0</v>
      </c>
      <c r="K42" s="303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40" t="s">
        <v>45</v>
      </c>
      <c r="B43" s="241">
        <v>90</v>
      </c>
      <c r="C43" s="242">
        <f t="shared" si="4"/>
        <v>3000000</v>
      </c>
      <c r="D43" s="269">
        <v>1000000</v>
      </c>
      <c r="E43" s="244">
        <f t="shared" si="5"/>
        <v>52500</v>
      </c>
      <c r="F43" s="244"/>
      <c r="G43" s="277"/>
      <c r="H43" s="284"/>
      <c r="I43" s="283"/>
      <c r="J43" s="303">
        <f t="shared" si="2"/>
        <v>0</v>
      </c>
      <c r="K43" s="303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40" t="s">
        <v>46</v>
      </c>
      <c r="B44" s="241">
        <v>90</v>
      </c>
      <c r="C44" s="242">
        <f t="shared" si="4"/>
        <v>2000000</v>
      </c>
      <c r="D44" s="269">
        <v>1000000</v>
      </c>
      <c r="E44" s="244">
        <f t="shared" si="5"/>
        <v>35000.00000000001</v>
      </c>
      <c r="F44" s="244"/>
      <c r="G44" s="277"/>
      <c r="H44" s="283"/>
      <c r="I44" s="283"/>
      <c r="J44" s="303">
        <f t="shared" si="2"/>
        <v>0</v>
      </c>
      <c r="K44" s="303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45" t="s">
        <v>47</v>
      </c>
      <c r="B45" s="246">
        <v>90</v>
      </c>
      <c r="C45" s="247">
        <f t="shared" si="4"/>
        <v>1000000</v>
      </c>
      <c r="D45" s="270">
        <v>1000000</v>
      </c>
      <c r="E45" s="249">
        <f t="shared" si="5"/>
        <v>17500.000000000004</v>
      </c>
      <c r="F45" s="249">
        <f>SUM(D42:D45)</f>
        <v>4100000</v>
      </c>
      <c r="G45" s="278">
        <f>SUM(E42:E45)</f>
        <v>176750.00000000003</v>
      </c>
      <c r="H45" s="283"/>
      <c r="I45" s="283"/>
      <c r="J45" s="303">
        <f t="shared" si="2"/>
        <v>4100000</v>
      </c>
      <c r="K45" s="303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35" t="s">
        <v>44</v>
      </c>
      <c r="B46" s="236">
        <v>90</v>
      </c>
      <c r="C46" s="237">
        <f t="shared" si="4"/>
        <v>0</v>
      </c>
      <c r="D46" s="268"/>
      <c r="E46" s="239">
        <f t="shared" si="5"/>
        <v>0</v>
      </c>
      <c r="F46" s="239"/>
      <c r="G46" s="276"/>
      <c r="H46" s="283"/>
      <c r="I46" s="283"/>
      <c r="J46" s="303">
        <f aca="true" t="shared" si="6" ref="J46:K49">H46+F46</f>
        <v>0</v>
      </c>
      <c r="K46" s="303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40" t="s">
        <v>45</v>
      </c>
      <c r="B47" s="241">
        <v>90</v>
      </c>
      <c r="C47" s="242">
        <f t="shared" si="4"/>
        <v>0</v>
      </c>
      <c r="D47" s="269"/>
      <c r="E47" s="244">
        <f t="shared" si="5"/>
        <v>0</v>
      </c>
      <c r="F47" s="244"/>
      <c r="G47" s="277"/>
      <c r="H47" s="284"/>
      <c r="I47" s="283"/>
      <c r="J47" s="303">
        <f t="shared" si="6"/>
        <v>0</v>
      </c>
      <c r="K47" s="303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40" t="s">
        <v>46</v>
      </c>
      <c r="B48" s="241">
        <v>90</v>
      </c>
      <c r="C48" s="242">
        <f t="shared" si="4"/>
        <v>0</v>
      </c>
      <c r="D48" s="269"/>
      <c r="E48" s="244">
        <f t="shared" si="5"/>
        <v>0</v>
      </c>
      <c r="F48" s="244"/>
      <c r="G48" s="277"/>
      <c r="H48" s="283"/>
      <c r="I48" s="283"/>
      <c r="J48" s="303">
        <f t="shared" si="6"/>
        <v>0</v>
      </c>
      <c r="K48" s="303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45" t="s">
        <v>47</v>
      </c>
      <c r="B49" s="246">
        <v>90</v>
      </c>
      <c r="C49" s="247">
        <f t="shared" si="4"/>
        <v>0</v>
      </c>
      <c r="D49" s="270"/>
      <c r="E49" s="249">
        <f t="shared" si="5"/>
        <v>0</v>
      </c>
      <c r="F49" s="249">
        <f>SUM(D46:D49)</f>
        <v>0</v>
      </c>
      <c r="G49" s="278">
        <f>SUM(E46:E49)</f>
        <v>0</v>
      </c>
      <c r="H49" s="283"/>
      <c r="I49" s="283"/>
      <c r="J49" s="303">
        <f t="shared" si="6"/>
        <v>0</v>
      </c>
      <c r="K49" s="303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 t="shared" si="7"/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30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315"/>
      <c r="K51" s="31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">
      <selection activeCell="J45" sqref="J45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57" t="s">
        <v>226</v>
      </c>
      <c r="B1" s="557"/>
      <c r="C1" s="557"/>
      <c r="D1" s="557"/>
      <c r="E1" s="557"/>
      <c r="F1" s="557"/>
      <c r="G1" s="557"/>
    </row>
    <row r="2" spans="1:11" ht="8.25" customHeight="1" thickBot="1">
      <c r="A2" s="20"/>
      <c r="B2" s="21"/>
      <c r="C2" s="22"/>
      <c r="D2" s="22"/>
      <c r="E2" s="22"/>
      <c r="F2" s="22"/>
      <c r="G2" s="22"/>
      <c r="J2" s="567" t="s">
        <v>221</v>
      </c>
      <c r="K2" s="567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317" t="s">
        <v>5</v>
      </c>
      <c r="H3" s="328" t="s">
        <v>220</v>
      </c>
      <c r="I3" s="329" t="s">
        <v>3</v>
      </c>
      <c r="J3" s="302" t="s">
        <v>222</v>
      </c>
      <c r="K3" s="302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318"/>
      <c r="H4" s="330">
        <v>2141585</v>
      </c>
      <c r="I4" s="331">
        <v>733601</v>
      </c>
      <c r="J4" s="303">
        <f>H4+'spł poż'!F8</f>
        <v>2191585</v>
      </c>
      <c r="K4" s="303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319">
        <f>E4+E5</f>
        <v>0</v>
      </c>
      <c r="H5" s="332"/>
      <c r="I5" s="333"/>
      <c r="J5" s="304"/>
      <c r="K5" s="304"/>
    </row>
    <row r="6" spans="1:36" s="2" customFormat="1" ht="15">
      <c r="A6" s="235" t="s">
        <v>8</v>
      </c>
      <c r="B6" s="236">
        <v>90</v>
      </c>
      <c r="C6" s="237">
        <f>C5-D5</f>
        <v>0</v>
      </c>
      <c r="D6" s="237">
        <v>0</v>
      </c>
      <c r="E6" s="290">
        <f>B6*C6*5.5%/360</f>
        <v>0</v>
      </c>
      <c r="F6" s="290"/>
      <c r="G6" s="320"/>
      <c r="H6" s="334"/>
      <c r="I6" s="335"/>
      <c r="J6" s="305"/>
      <c r="K6" s="30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240" t="s">
        <v>9</v>
      </c>
      <c r="B7" s="241">
        <v>90</v>
      </c>
      <c r="C7" s="242">
        <f>C6-D6</f>
        <v>0</v>
      </c>
      <c r="D7" s="242">
        <v>0</v>
      </c>
      <c r="E7" s="291">
        <f>B7*C7*5.5%/360</f>
        <v>0</v>
      </c>
      <c r="F7" s="291"/>
      <c r="G7" s="321"/>
      <c r="H7" s="332"/>
      <c r="I7" s="333"/>
      <c r="J7" s="306"/>
      <c r="K7" s="306"/>
    </row>
    <row r="8" spans="1:11" ht="15">
      <c r="A8" s="240" t="s">
        <v>10</v>
      </c>
      <c r="B8" s="241">
        <v>90</v>
      </c>
      <c r="C8" s="242">
        <f>C7-D7</f>
        <v>0</v>
      </c>
      <c r="D8" s="242">
        <v>0</v>
      </c>
      <c r="E8" s="291">
        <f>B8*C8*5.5%/360</f>
        <v>0</v>
      </c>
      <c r="F8" s="291"/>
      <c r="G8" s="321"/>
      <c r="H8" s="332"/>
      <c r="I8" s="333"/>
      <c r="J8" s="306"/>
      <c r="K8" s="306"/>
    </row>
    <row r="9" spans="1:11" ht="15.75" thickBot="1">
      <c r="A9" s="245" t="s">
        <v>11</v>
      </c>
      <c r="B9" s="246">
        <v>90</v>
      </c>
      <c r="C9" s="247"/>
      <c r="D9" s="247">
        <v>0</v>
      </c>
      <c r="E9" s="292"/>
      <c r="F9" s="293">
        <f>D7+D8+D9</f>
        <v>0</v>
      </c>
      <c r="G9" s="322"/>
      <c r="H9" s="336">
        <v>3485040</v>
      </c>
      <c r="I9" s="337">
        <v>697952</v>
      </c>
      <c r="J9" s="307">
        <f>H9+F9+'spł poż'!F8</f>
        <v>3535040</v>
      </c>
      <c r="K9" s="307">
        <f>I9+G9+'spł poż'!G8</f>
        <v>871640</v>
      </c>
    </row>
    <row r="10" spans="1:11" ht="15">
      <c r="A10" s="235" t="s">
        <v>12</v>
      </c>
      <c r="B10" s="236">
        <v>90</v>
      </c>
      <c r="C10" s="237">
        <f>C9-D9</f>
        <v>0</v>
      </c>
      <c r="D10" s="237"/>
      <c r="E10" s="290">
        <f>B10*C10*0.07/360</f>
        <v>0</v>
      </c>
      <c r="F10" s="290"/>
      <c r="G10" s="320"/>
      <c r="H10" s="332"/>
      <c r="I10" s="333"/>
      <c r="J10" s="308">
        <f>H10+F10+'spł poż'!F9</f>
        <v>0</v>
      </c>
      <c r="K10" s="308">
        <f>I10+G10+'spł poż'!G9</f>
        <v>0</v>
      </c>
    </row>
    <row r="11" spans="1:11" ht="15">
      <c r="A11" s="240" t="s">
        <v>13</v>
      </c>
      <c r="B11" s="241">
        <v>90</v>
      </c>
      <c r="C11" s="242">
        <f aca="true" t="shared" si="0" ref="C11:C44">C10-D10</f>
        <v>0</v>
      </c>
      <c r="D11" s="242"/>
      <c r="E11" s="291">
        <f aca="true" t="shared" si="1" ref="E11:E41">B11*C11*0.07/360</f>
        <v>0</v>
      </c>
      <c r="F11" s="291"/>
      <c r="G11" s="321"/>
      <c r="H11" s="332"/>
      <c r="I11" s="333"/>
      <c r="J11" s="309">
        <f>H11+F11+'spł poż'!F10</f>
        <v>0</v>
      </c>
      <c r="K11" s="309">
        <f>I11+G11+'spł poż'!G10</f>
        <v>0</v>
      </c>
    </row>
    <row r="12" spans="1:11" ht="15">
      <c r="A12" s="240" t="s">
        <v>14</v>
      </c>
      <c r="B12" s="241">
        <v>90</v>
      </c>
      <c r="C12" s="242">
        <f t="shared" si="0"/>
        <v>0</v>
      </c>
      <c r="D12" s="242"/>
      <c r="E12" s="291">
        <f t="shared" si="1"/>
        <v>0</v>
      </c>
      <c r="F12" s="291"/>
      <c r="G12" s="321"/>
      <c r="H12" s="332"/>
      <c r="I12" s="333"/>
      <c r="J12" s="309">
        <f>H12+F12+'spł poż'!F11</f>
        <v>0</v>
      </c>
      <c r="K12" s="309">
        <f>I12+G12+'spł poż'!G11</f>
        <v>0</v>
      </c>
    </row>
    <row r="13" spans="1:11" ht="15.75" thickBot="1">
      <c r="A13" s="245" t="s">
        <v>15</v>
      </c>
      <c r="B13" s="246">
        <v>90</v>
      </c>
      <c r="C13" s="247">
        <f t="shared" si="0"/>
        <v>0</v>
      </c>
      <c r="D13" s="247"/>
      <c r="E13" s="293">
        <f t="shared" si="1"/>
        <v>0</v>
      </c>
      <c r="F13" s="293">
        <f>SUM(D10:D13)</f>
        <v>0</v>
      </c>
      <c r="G13" s="322">
        <f>SUM(E10:E13)</f>
        <v>0</v>
      </c>
      <c r="H13" s="336">
        <v>3616899</v>
      </c>
      <c r="I13" s="337">
        <v>575506</v>
      </c>
      <c r="J13" s="307">
        <f>H13+F13+'spł poż'!F12</f>
        <v>3666899</v>
      </c>
      <c r="K13" s="307">
        <f>I13+G13+'spł poż'!G12</f>
        <v>745694</v>
      </c>
    </row>
    <row r="14" spans="1:11" ht="15">
      <c r="A14" s="235" t="s">
        <v>16</v>
      </c>
      <c r="B14" s="236">
        <v>90</v>
      </c>
      <c r="C14" s="237">
        <f t="shared" si="0"/>
        <v>0</v>
      </c>
      <c r="D14" s="237"/>
      <c r="E14" s="290">
        <f t="shared" si="1"/>
        <v>0</v>
      </c>
      <c r="F14" s="290"/>
      <c r="G14" s="320"/>
      <c r="H14" s="332"/>
      <c r="I14" s="333"/>
      <c r="J14" s="308">
        <f>H14+F14+'spł poż'!F13</f>
        <v>0</v>
      </c>
      <c r="K14" s="308">
        <f>I14+G14+'spł poż'!G13</f>
        <v>0</v>
      </c>
    </row>
    <row r="15" spans="1:11" ht="15">
      <c r="A15" s="240" t="s">
        <v>17</v>
      </c>
      <c r="B15" s="241">
        <v>90</v>
      </c>
      <c r="C15" s="242">
        <f t="shared" si="0"/>
        <v>0</v>
      </c>
      <c r="D15" s="242"/>
      <c r="E15" s="291">
        <f t="shared" si="1"/>
        <v>0</v>
      </c>
      <c r="F15" s="291"/>
      <c r="G15" s="321"/>
      <c r="H15" s="332"/>
      <c r="I15" s="333"/>
      <c r="J15" s="309">
        <f>H15+F15+'spł poż'!F14</f>
        <v>0</v>
      </c>
      <c r="K15" s="309">
        <f>I15+G15+'spł poż'!G14</f>
        <v>0</v>
      </c>
    </row>
    <row r="16" spans="1:11" ht="15">
      <c r="A16" s="240" t="s">
        <v>18</v>
      </c>
      <c r="B16" s="241">
        <v>90</v>
      </c>
      <c r="C16" s="242">
        <f t="shared" si="0"/>
        <v>0</v>
      </c>
      <c r="D16" s="242"/>
      <c r="E16" s="291">
        <f t="shared" si="1"/>
        <v>0</v>
      </c>
      <c r="F16" s="291"/>
      <c r="G16" s="321"/>
      <c r="H16" s="332"/>
      <c r="I16" s="333"/>
      <c r="J16" s="309">
        <f>H16+F16+'spł poż'!F15</f>
        <v>0</v>
      </c>
      <c r="K16" s="309">
        <f>I16+G16+'spł poż'!G15</f>
        <v>0</v>
      </c>
    </row>
    <row r="17" spans="1:11" ht="15.75" thickBot="1">
      <c r="A17" s="245" t="s">
        <v>19</v>
      </c>
      <c r="B17" s="246">
        <v>90</v>
      </c>
      <c r="C17" s="247">
        <f t="shared" si="0"/>
        <v>0</v>
      </c>
      <c r="D17" s="247"/>
      <c r="E17" s="293">
        <f t="shared" si="1"/>
        <v>0</v>
      </c>
      <c r="F17" s="293">
        <f>SUM(D14:D17)</f>
        <v>0</v>
      </c>
      <c r="G17" s="322">
        <f>SUM(E14:E17)</f>
        <v>0</v>
      </c>
      <c r="H17" s="336">
        <v>3456453</v>
      </c>
      <c r="I17" s="337">
        <v>349963</v>
      </c>
      <c r="J17" s="307">
        <f>H17+F17+'spł poż'!F16</f>
        <v>3506453</v>
      </c>
      <c r="K17" s="307">
        <f>I17+G17+'spł poż'!G16</f>
        <v>516651</v>
      </c>
    </row>
    <row r="18" spans="1:11" ht="15">
      <c r="A18" s="235" t="s">
        <v>20</v>
      </c>
      <c r="B18" s="236">
        <v>90</v>
      </c>
      <c r="C18" s="237">
        <f t="shared" si="0"/>
        <v>0</v>
      </c>
      <c r="D18" s="237">
        <f>D17</f>
        <v>0</v>
      </c>
      <c r="E18" s="290">
        <f t="shared" si="1"/>
        <v>0</v>
      </c>
      <c r="F18" s="290"/>
      <c r="G18" s="320"/>
      <c r="H18" s="332"/>
      <c r="I18" s="333"/>
      <c r="J18" s="308">
        <f>H18+F18+'spł poż'!F17</f>
        <v>0</v>
      </c>
      <c r="K18" s="308">
        <f>I18+G18+'spł poż'!G17</f>
        <v>0</v>
      </c>
    </row>
    <row r="19" spans="1:11" ht="15">
      <c r="A19" s="240" t="s">
        <v>21</v>
      </c>
      <c r="B19" s="241">
        <v>90</v>
      </c>
      <c r="C19" s="242">
        <f t="shared" si="0"/>
        <v>0</v>
      </c>
      <c r="D19" s="242"/>
      <c r="E19" s="291">
        <f t="shared" si="1"/>
        <v>0</v>
      </c>
      <c r="F19" s="291"/>
      <c r="G19" s="321"/>
      <c r="H19" s="332"/>
      <c r="I19" s="333"/>
      <c r="J19" s="309">
        <f>H19+F19+'spł poż'!F18</f>
        <v>0</v>
      </c>
      <c r="K19" s="309">
        <f>I19+G19+'spł poż'!G18</f>
        <v>0</v>
      </c>
    </row>
    <row r="20" spans="1:36" s="17" customFormat="1" ht="15">
      <c r="A20" s="250" t="s">
        <v>22</v>
      </c>
      <c r="B20" s="251">
        <v>90</v>
      </c>
      <c r="C20" s="242">
        <f t="shared" si="0"/>
        <v>0</v>
      </c>
      <c r="D20" s="242"/>
      <c r="E20" s="291">
        <f t="shared" si="1"/>
        <v>0</v>
      </c>
      <c r="F20" s="294"/>
      <c r="G20" s="323"/>
      <c r="H20" s="332"/>
      <c r="I20" s="333"/>
      <c r="J20" s="309">
        <f>H20+F20+'spł poż'!F19</f>
        <v>0</v>
      </c>
      <c r="K20" s="309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256" t="s">
        <v>23</v>
      </c>
      <c r="B21" s="257">
        <v>90</v>
      </c>
      <c r="C21" s="258">
        <f t="shared" si="0"/>
        <v>0</v>
      </c>
      <c r="D21" s="271"/>
      <c r="E21" s="296">
        <f t="shared" si="1"/>
        <v>0</v>
      </c>
      <c r="F21" s="297">
        <f>SUM(D18:D21)</f>
        <v>0</v>
      </c>
      <c r="G21" s="324">
        <f>SUM(E18:E21)</f>
        <v>0</v>
      </c>
      <c r="H21" s="336">
        <v>2500000</v>
      </c>
      <c r="I21" s="337">
        <v>258568</v>
      </c>
      <c r="J21" s="310">
        <f>H21+F21+'spł poż'!F20</f>
        <v>2550000</v>
      </c>
      <c r="K21" s="310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235" t="s">
        <v>24</v>
      </c>
      <c r="B22" s="236">
        <v>90</v>
      </c>
      <c r="C22" s="237">
        <f t="shared" si="0"/>
        <v>0</v>
      </c>
      <c r="D22" s="264"/>
      <c r="E22" s="290">
        <f t="shared" si="1"/>
        <v>0</v>
      </c>
      <c r="F22" s="290"/>
      <c r="G22" s="320"/>
      <c r="H22" s="332"/>
      <c r="I22" s="333"/>
      <c r="J22" s="308">
        <f>H22+F22+'spł poż'!F21</f>
        <v>0</v>
      </c>
      <c r="K22" s="308">
        <f>I22+G22+'spł poż'!G21</f>
        <v>0</v>
      </c>
    </row>
    <row r="23" spans="1:11" ht="15">
      <c r="A23" s="240" t="s">
        <v>25</v>
      </c>
      <c r="B23" s="241">
        <v>90</v>
      </c>
      <c r="C23" s="242">
        <f t="shared" si="0"/>
        <v>0</v>
      </c>
      <c r="D23" s="266"/>
      <c r="E23" s="291">
        <f t="shared" si="1"/>
        <v>0</v>
      </c>
      <c r="F23" s="291"/>
      <c r="G23" s="321"/>
      <c r="H23" s="332"/>
      <c r="I23" s="333"/>
      <c r="J23" s="309">
        <f>H23+F23+'spł poż'!F22</f>
        <v>0</v>
      </c>
      <c r="K23" s="309">
        <f>I23+G23+'spł poż'!G22</f>
        <v>0</v>
      </c>
    </row>
    <row r="24" spans="1:11" ht="15">
      <c r="A24" s="240" t="s">
        <v>26</v>
      </c>
      <c r="B24" s="241">
        <v>90</v>
      </c>
      <c r="C24" s="242">
        <f t="shared" si="0"/>
        <v>0</v>
      </c>
      <c r="D24" s="242"/>
      <c r="E24" s="291">
        <f t="shared" si="1"/>
        <v>0</v>
      </c>
      <c r="F24" s="291"/>
      <c r="G24" s="321"/>
      <c r="H24" s="332"/>
      <c r="I24" s="333"/>
      <c r="J24" s="309">
        <f>H24+F24+'spł poż'!F23</f>
        <v>0</v>
      </c>
      <c r="K24" s="309">
        <f>I24+G24+'spł poż'!G23</f>
        <v>0</v>
      </c>
    </row>
    <row r="25" spans="1:11" ht="15.75" thickBot="1">
      <c r="A25" s="245" t="s">
        <v>27</v>
      </c>
      <c r="B25" s="246">
        <v>90</v>
      </c>
      <c r="C25" s="247">
        <f t="shared" si="0"/>
        <v>0</v>
      </c>
      <c r="D25" s="247"/>
      <c r="E25" s="293">
        <f t="shared" si="1"/>
        <v>0</v>
      </c>
      <c r="F25" s="293">
        <f>SUM(D22:D25)</f>
        <v>0</v>
      </c>
      <c r="G25" s="322">
        <f>SUM(E22:E25)</f>
        <v>0</v>
      </c>
      <c r="H25" s="336">
        <v>2500000</v>
      </c>
      <c r="I25" s="337">
        <v>171068</v>
      </c>
      <c r="J25" s="307">
        <f>H25+F25+'spł poż'!F24</f>
        <v>2550000</v>
      </c>
      <c r="K25" s="307">
        <f>I25+G25+'spł poż'!G24</f>
        <v>330756</v>
      </c>
    </row>
    <row r="26" spans="1:36" s="17" customFormat="1" ht="15">
      <c r="A26" s="262" t="s">
        <v>28</v>
      </c>
      <c r="B26" s="263">
        <v>90</v>
      </c>
      <c r="C26" s="237">
        <f t="shared" si="0"/>
        <v>0</v>
      </c>
      <c r="D26" s="264"/>
      <c r="E26" s="290">
        <f t="shared" si="1"/>
        <v>0</v>
      </c>
      <c r="F26" s="298"/>
      <c r="G26" s="325"/>
      <c r="H26" s="332"/>
      <c r="I26" s="333"/>
      <c r="J26" s="308">
        <f>H26+F26+'spł poż'!F25</f>
        <v>0</v>
      </c>
      <c r="K26" s="308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250" t="s">
        <v>29</v>
      </c>
      <c r="B27" s="251">
        <v>90</v>
      </c>
      <c r="C27" s="242">
        <f t="shared" si="0"/>
        <v>0</v>
      </c>
      <c r="D27" s="266"/>
      <c r="E27" s="291">
        <f t="shared" si="1"/>
        <v>0</v>
      </c>
      <c r="F27" s="294"/>
      <c r="G27" s="323"/>
      <c r="H27" s="332"/>
      <c r="I27" s="333"/>
      <c r="J27" s="309">
        <f>H27+F27+'spł poż'!F26</f>
        <v>0</v>
      </c>
      <c r="K27" s="309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250" t="s">
        <v>30</v>
      </c>
      <c r="B28" s="251">
        <v>90</v>
      </c>
      <c r="C28" s="242">
        <f t="shared" si="0"/>
        <v>0</v>
      </c>
      <c r="D28" s="266"/>
      <c r="E28" s="291">
        <f t="shared" si="1"/>
        <v>0</v>
      </c>
      <c r="F28" s="294"/>
      <c r="G28" s="323"/>
      <c r="H28" s="332"/>
      <c r="I28" s="333"/>
      <c r="J28" s="309">
        <f>H28+F28+'spł poż'!F27</f>
        <v>0</v>
      </c>
      <c r="K28" s="309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253" t="s">
        <v>31</v>
      </c>
      <c r="B29" s="254">
        <v>90</v>
      </c>
      <c r="C29" s="247">
        <f t="shared" si="0"/>
        <v>0</v>
      </c>
      <c r="D29" s="267"/>
      <c r="E29" s="293">
        <f t="shared" si="1"/>
        <v>0</v>
      </c>
      <c r="F29" s="295">
        <f>SUM(D26:D29)</f>
        <v>0</v>
      </c>
      <c r="G29" s="326">
        <f>SUM(E26:E29)</f>
        <v>0</v>
      </c>
      <c r="H29" s="336">
        <v>2376170</v>
      </c>
      <c r="I29" s="337">
        <v>83568</v>
      </c>
      <c r="J29" s="307">
        <f>H29+F29+'spł poż'!F28</f>
        <v>2401170</v>
      </c>
      <c r="K29" s="307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235" t="s">
        <v>32</v>
      </c>
      <c r="B30" s="236">
        <v>90</v>
      </c>
      <c r="C30" s="237">
        <f t="shared" si="0"/>
        <v>0</v>
      </c>
      <c r="D30" s="237"/>
      <c r="E30" s="290">
        <f t="shared" si="1"/>
        <v>0</v>
      </c>
      <c r="F30" s="290"/>
      <c r="G30" s="320"/>
      <c r="H30" s="332"/>
      <c r="I30" s="333"/>
      <c r="J30" s="308">
        <f>H30+F30+'spł poż'!F29</f>
        <v>0</v>
      </c>
      <c r="K30" s="308">
        <f>I30+G30+'spł poż'!G29</f>
        <v>0</v>
      </c>
    </row>
    <row r="31" spans="1:11" ht="15">
      <c r="A31" s="240" t="s">
        <v>33</v>
      </c>
      <c r="B31" s="241">
        <v>90</v>
      </c>
      <c r="C31" s="242">
        <f t="shared" si="0"/>
        <v>0</v>
      </c>
      <c r="D31" s="266"/>
      <c r="E31" s="291">
        <f t="shared" si="1"/>
        <v>0</v>
      </c>
      <c r="F31" s="291"/>
      <c r="G31" s="321"/>
      <c r="H31" s="332"/>
      <c r="I31" s="333"/>
      <c r="J31" s="309">
        <f>H31+F31+'spł poż'!F30</f>
        <v>0</v>
      </c>
      <c r="K31" s="309">
        <f>I31+G31+'spł poż'!G30</f>
        <v>0</v>
      </c>
    </row>
    <row r="32" spans="1:11" ht="15">
      <c r="A32" s="240" t="s">
        <v>34</v>
      </c>
      <c r="B32" s="241">
        <v>90</v>
      </c>
      <c r="C32" s="242">
        <f t="shared" si="0"/>
        <v>0</v>
      </c>
      <c r="D32" s="266"/>
      <c r="E32" s="291">
        <f t="shared" si="1"/>
        <v>0</v>
      </c>
      <c r="F32" s="291"/>
      <c r="G32" s="321"/>
      <c r="H32" s="332"/>
      <c r="I32" s="333"/>
      <c r="J32" s="309">
        <f>H32+F32+'spł poż'!F31</f>
        <v>0</v>
      </c>
      <c r="K32" s="309">
        <f>I32+G32+'spł poż'!G31</f>
        <v>0</v>
      </c>
    </row>
    <row r="33" spans="1:11" ht="15.75" thickBot="1">
      <c r="A33" s="299" t="s">
        <v>35</v>
      </c>
      <c r="B33" s="300">
        <v>90</v>
      </c>
      <c r="C33" s="258">
        <f t="shared" si="0"/>
        <v>0</v>
      </c>
      <c r="D33" s="271"/>
      <c r="E33" s="296">
        <f t="shared" si="1"/>
        <v>0</v>
      </c>
      <c r="F33" s="296">
        <f>SUM(D30:D33)</f>
        <v>0</v>
      </c>
      <c r="G33" s="327">
        <f>SUM(E30:E33)</f>
        <v>0</v>
      </c>
      <c r="H33" s="336">
        <v>11500</v>
      </c>
      <c r="I33" s="333">
        <v>403</v>
      </c>
      <c r="J33" s="310">
        <f>H33+F33+'spł poż'!F32</f>
        <v>62028</v>
      </c>
      <c r="K33" s="310">
        <f>I33+G33+'spł poż'!G32</f>
        <v>126831.26000000002</v>
      </c>
    </row>
    <row r="34" spans="1:36" s="17" customFormat="1" ht="15">
      <c r="A34" s="262" t="s">
        <v>36</v>
      </c>
      <c r="B34" s="263">
        <v>90</v>
      </c>
      <c r="C34" s="237">
        <f t="shared" si="0"/>
        <v>0</v>
      </c>
      <c r="D34" s="264"/>
      <c r="E34" s="290">
        <f t="shared" si="1"/>
        <v>0</v>
      </c>
      <c r="F34" s="298"/>
      <c r="G34" s="325"/>
      <c r="H34" s="332"/>
      <c r="I34" s="333"/>
      <c r="J34" s="308">
        <f>H34+F34+'spł poż'!F33</f>
        <v>0</v>
      </c>
      <c r="K34" s="308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250" t="s">
        <v>37</v>
      </c>
      <c r="B35" s="251">
        <v>90</v>
      </c>
      <c r="C35" s="242">
        <f t="shared" si="0"/>
        <v>0</v>
      </c>
      <c r="D35" s="266">
        <f>D34</f>
        <v>0</v>
      </c>
      <c r="E35" s="291">
        <f t="shared" si="1"/>
        <v>0</v>
      </c>
      <c r="F35" s="294"/>
      <c r="G35" s="323"/>
      <c r="H35" s="332"/>
      <c r="I35" s="333"/>
      <c r="J35" s="309">
        <f>H35+F35+'spł poż'!F34</f>
        <v>0</v>
      </c>
      <c r="K35" s="309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250" t="s">
        <v>38</v>
      </c>
      <c r="B36" s="251">
        <v>90</v>
      </c>
      <c r="C36" s="242">
        <f t="shared" si="0"/>
        <v>0</v>
      </c>
      <c r="D36" s="266"/>
      <c r="E36" s="291">
        <f t="shared" si="1"/>
        <v>0</v>
      </c>
      <c r="F36" s="294"/>
      <c r="G36" s="323"/>
      <c r="H36" s="332"/>
      <c r="I36" s="333"/>
      <c r="J36" s="309">
        <f>H36+F36+'spł poż'!F35</f>
        <v>0</v>
      </c>
      <c r="K36" s="309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253" t="s">
        <v>39</v>
      </c>
      <c r="B37" s="254">
        <v>90</v>
      </c>
      <c r="C37" s="247">
        <f t="shared" si="0"/>
        <v>0</v>
      </c>
      <c r="D37" s="267"/>
      <c r="E37" s="293">
        <f t="shared" si="1"/>
        <v>0</v>
      </c>
      <c r="F37" s="295">
        <f>SUM(D34:D37)</f>
        <v>0</v>
      </c>
      <c r="G37" s="326">
        <f>SUM(E34:E37)</f>
        <v>0</v>
      </c>
      <c r="H37" s="332"/>
      <c r="I37" s="333"/>
      <c r="J37" s="307">
        <f>H37+F37+'spł poż'!F36</f>
        <v>750523</v>
      </c>
      <c r="K37" s="307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235" t="s">
        <v>40</v>
      </c>
      <c r="B38" s="236">
        <v>90</v>
      </c>
      <c r="C38" s="237">
        <f t="shared" si="0"/>
        <v>0</v>
      </c>
      <c r="D38" s="237">
        <f>D37</f>
        <v>0</v>
      </c>
      <c r="E38" s="290">
        <f t="shared" si="1"/>
        <v>0</v>
      </c>
      <c r="F38" s="290"/>
      <c r="G38" s="320"/>
      <c r="H38" s="332"/>
      <c r="I38" s="333"/>
      <c r="J38" s="308">
        <f>H38+F38+'spł poż'!F37</f>
        <v>0</v>
      </c>
      <c r="K38" s="308">
        <f>I38+G38+'spł poż'!G37</f>
        <v>0</v>
      </c>
    </row>
    <row r="39" spans="1:11" ht="15">
      <c r="A39" s="240" t="s">
        <v>41</v>
      </c>
      <c r="B39" s="241">
        <v>90</v>
      </c>
      <c r="C39" s="242">
        <f t="shared" si="0"/>
        <v>0</v>
      </c>
      <c r="D39" s="242">
        <f>D38</f>
        <v>0</v>
      </c>
      <c r="E39" s="291">
        <f t="shared" si="1"/>
        <v>0</v>
      </c>
      <c r="F39" s="291"/>
      <c r="G39" s="321"/>
      <c r="H39" s="332"/>
      <c r="I39" s="333"/>
      <c r="J39" s="309">
        <f>H39+F39+'spł poż'!F38</f>
        <v>0</v>
      </c>
      <c r="K39" s="309">
        <f>I39+G39+'spł poż'!G38</f>
        <v>0</v>
      </c>
    </row>
    <row r="40" spans="1:11" ht="15">
      <c r="A40" s="240" t="s">
        <v>42</v>
      </c>
      <c r="B40" s="241">
        <v>90</v>
      </c>
      <c r="C40" s="242">
        <f t="shared" si="0"/>
        <v>0</v>
      </c>
      <c r="D40" s="242">
        <f>D39</f>
        <v>0</v>
      </c>
      <c r="E40" s="291">
        <f t="shared" si="1"/>
        <v>0</v>
      </c>
      <c r="F40" s="291"/>
      <c r="G40" s="321"/>
      <c r="H40" s="332"/>
      <c r="I40" s="333"/>
      <c r="J40" s="309">
        <f>H40+F40+'spł poż'!F39</f>
        <v>0</v>
      </c>
      <c r="K40" s="309">
        <f>I40+G40+'spł poż'!G39</f>
        <v>0</v>
      </c>
    </row>
    <row r="41" spans="1:11" ht="15.75" thickBot="1">
      <c r="A41" s="245" t="s">
        <v>43</v>
      </c>
      <c r="B41" s="246">
        <v>90</v>
      </c>
      <c r="C41" s="247">
        <f t="shared" si="0"/>
        <v>0</v>
      </c>
      <c r="D41" s="247"/>
      <c r="E41" s="293">
        <f t="shared" si="1"/>
        <v>0</v>
      </c>
      <c r="F41" s="293">
        <f>SUM(D38:D41)</f>
        <v>0</v>
      </c>
      <c r="G41" s="322">
        <f>SUM(E38:E41)</f>
        <v>0</v>
      </c>
      <c r="H41" s="332"/>
      <c r="I41" s="333"/>
      <c r="J41" s="307">
        <f>H41+F41+'spł poż'!F40</f>
        <v>600000</v>
      </c>
      <c r="K41" s="307">
        <f>I41+G41+'spł poż'!G40</f>
        <v>55926.43</v>
      </c>
    </row>
    <row r="42" spans="1:11" ht="15">
      <c r="A42" s="235" t="s">
        <v>44</v>
      </c>
      <c r="B42" s="236">
        <v>90</v>
      </c>
      <c r="C42" s="237">
        <f t="shared" si="0"/>
        <v>0</v>
      </c>
      <c r="D42" s="237"/>
      <c r="E42" s="290">
        <f>B42*C42*0.07/360</f>
        <v>0</v>
      </c>
      <c r="F42" s="290"/>
      <c r="G42" s="320"/>
      <c r="H42" s="332"/>
      <c r="I42" s="333"/>
      <c r="J42" s="308">
        <f>H42+F42+'spł poż'!F41</f>
        <v>0</v>
      </c>
      <c r="K42" s="308">
        <f>I42+G42+'spł poż'!G41</f>
        <v>0</v>
      </c>
    </row>
    <row r="43" spans="1:11" ht="15">
      <c r="A43" s="240" t="s">
        <v>45</v>
      </c>
      <c r="B43" s="241">
        <v>90</v>
      </c>
      <c r="C43" s="242">
        <f t="shared" si="0"/>
        <v>0</v>
      </c>
      <c r="D43" s="242"/>
      <c r="E43" s="291">
        <f>B43*C43*0.07/360</f>
        <v>0</v>
      </c>
      <c r="F43" s="291"/>
      <c r="G43" s="321"/>
      <c r="H43" s="332"/>
      <c r="I43" s="333"/>
      <c r="J43" s="309">
        <f>H43+F43+'spł poż'!F42</f>
        <v>0</v>
      </c>
      <c r="K43" s="309">
        <f>I43+G43+'spł poż'!G42</f>
        <v>0</v>
      </c>
    </row>
    <row r="44" spans="1:11" ht="15">
      <c r="A44" s="240" t="s">
        <v>46</v>
      </c>
      <c r="B44" s="241">
        <v>90</v>
      </c>
      <c r="C44" s="242">
        <f t="shared" si="0"/>
        <v>0</v>
      </c>
      <c r="D44" s="242"/>
      <c r="E44" s="291">
        <f>B44*C44*0.07/360</f>
        <v>0</v>
      </c>
      <c r="F44" s="291"/>
      <c r="G44" s="321"/>
      <c r="H44" s="332"/>
      <c r="I44" s="333"/>
      <c r="J44" s="309">
        <f>H44+F44+'spł poż'!F43</f>
        <v>0</v>
      </c>
      <c r="K44" s="309">
        <f>I44+G44+'spł poż'!G43</f>
        <v>0</v>
      </c>
    </row>
    <row r="45" spans="1:11" ht="15.75" thickBot="1">
      <c r="A45" s="245" t="s">
        <v>47</v>
      </c>
      <c r="B45" s="246">
        <v>90</v>
      </c>
      <c r="C45" s="247">
        <f>C44-D44</f>
        <v>0</v>
      </c>
      <c r="D45" s="247"/>
      <c r="E45" s="293">
        <f>B45*C45*0.07/360</f>
        <v>0</v>
      </c>
      <c r="F45" s="293">
        <f>SUM(D42:D45)</f>
        <v>0</v>
      </c>
      <c r="G45" s="322">
        <f>SUM(E42:E45)</f>
        <v>0</v>
      </c>
      <c r="H45" s="338"/>
      <c r="I45" s="339"/>
      <c r="J45" s="307">
        <f>H45+F45+'spł poż'!F44</f>
        <v>423949</v>
      </c>
      <c r="K45" s="307">
        <f>I45+G45+'spł poż'!G44</f>
        <v>18757.322500000002</v>
      </c>
    </row>
    <row r="46" spans="4:11" ht="12.75">
      <c r="D46" s="14">
        <f>SUM(D10:D45)</f>
        <v>0</v>
      </c>
      <c r="J46" s="301"/>
      <c r="K46" s="347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view="pageBreakPreview" zoomScale="75" zoomScaleNormal="90" zoomScaleSheetLayoutView="75" zoomScalePageLayoutView="0" workbookViewId="0" topLeftCell="A1">
      <selection activeCell="A6" sqref="A6:M8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31" customWidth="1"/>
    <col min="4" max="4" width="14.8515625" style="0" customWidth="1"/>
    <col min="5" max="5" width="13.421875" style="31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4.2812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6" width="16.28125" style="0" customWidth="1"/>
  </cols>
  <sheetData>
    <row r="1" spans="1:16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8"/>
      <c r="L1" s="57"/>
      <c r="M1" s="59" t="s">
        <v>48</v>
      </c>
      <c r="N1" s="59"/>
      <c r="O1" s="60"/>
      <c r="P1" s="60"/>
    </row>
    <row r="2" spans="1:16" ht="3.75" customHeight="1">
      <c r="A2" s="61"/>
      <c r="B2" s="61"/>
      <c r="C2" s="62"/>
      <c r="D2" s="62"/>
      <c r="E2" s="62"/>
      <c r="F2" s="62"/>
      <c r="G2" s="62"/>
      <c r="H2" s="62"/>
      <c r="I2" s="62"/>
      <c r="J2" s="62"/>
      <c r="K2" s="63"/>
      <c r="L2" s="62"/>
      <c r="M2" s="64"/>
      <c r="N2" s="65"/>
      <c r="O2" s="62"/>
      <c r="P2" s="62"/>
    </row>
    <row r="3" spans="1:16" ht="18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8"/>
      <c r="L3" s="67"/>
      <c r="M3" s="69" t="s">
        <v>408</v>
      </c>
      <c r="N3" s="65"/>
      <c r="O3" s="67"/>
      <c r="P3" s="67"/>
    </row>
    <row r="4" spans="1:16" ht="16.5" customHeight="1">
      <c r="A4" s="66"/>
      <c r="B4" s="66"/>
      <c r="C4" s="67"/>
      <c r="D4" s="67"/>
      <c r="E4" s="67"/>
      <c r="F4" s="67"/>
      <c r="G4" s="67"/>
      <c r="H4" s="67"/>
      <c r="I4" s="67"/>
      <c r="J4" s="67"/>
      <c r="K4" s="68"/>
      <c r="L4" s="67"/>
      <c r="M4" s="69" t="s">
        <v>49</v>
      </c>
      <c r="N4" s="65"/>
      <c r="O4" s="67"/>
      <c r="P4" s="67"/>
    </row>
    <row r="5" spans="1:16" ht="17.25" customHeight="1">
      <c r="A5" s="66"/>
      <c r="B5" s="66"/>
      <c r="C5" s="67"/>
      <c r="D5" s="67"/>
      <c r="E5" s="67"/>
      <c r="F5" s="67"/>
      <c r="G5" s="67"/>
      <c r="H5" s="67"/>
      <c r="I5" s="67"/>
      <c r="J5" s="67"/>
      <c r="K5" s="68"/>
      <c r="L5" s="67"/>
      <c r="M5" s="69" t="s">
        <v>409</v>
      </c>
      <c r="N5" s="65"/>
      <c r="O5" s="67"/>
      <c r="P5" s="67"/>
    </row>
    <row r="6" spans="1:16" ht="19.5" customHeight="1" thickBot="1">
      <c r="A6" s="568" t="s">
        <v>290</v>
      </c>
      <c r="B6" s="568"/>
      <c r="C6" s="568" t="s">
        <v>50</v>
      </c>
      <c r="D6" s="568" t="s">
        <v>51</v>
      </c>
      <c r="E6" s="568" t="s">
        <v>52</v>
      </c>
      <c r="F6" s="568" t="s">
        <v>53</v>
      </c>
      <c r="G6" s="568" t="s">
        <v>54</v>
      </c>
      <c r="H6" s="568" t="s">
        <v>55</v>
      </c>
      <c r="I6" s="568" t="s">
        <v>56</v>
      </c>
      <c r="J6" s="568" t="s">
        <v>57</v>
      </c>
      <c r="K6" s="568" t="s">
        <v>58</v>
      </c>
      <c r="L6" s="568" t="s">
        <v>59</v>
      </c>
      <c r="M6" s="568" t="s">
        <v>60</v>
      </c>
      <c r="N6" s="70"/>
      <c r="O6" s="70"/>
      <c r="P6" s="71"/>
    </row>
    <row r="7" spans="1:16" ht="19.5" customHeight="1" thickBot="1">
      <c r="A7" s="568"/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70"/>
      <c r="O7" s="70"/>
      <c r="P7" s="71"/>
    </row>
    <row r="8" spans="1:16" ht="19.5" customHeight="1" thickBot="1">
      <c r="A8" s="568"/>
      <c r="B8" s="568"/>
      <c r="C8" s="568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70"/>
      <c r="O8" s="70"/>
      <c r="P8" s="71"/>
    </row>
    <row r="9" spans="1:16" ht="16.5" customHeight="1" thickBot="1">
      <c r="A9" s="626" t="s">
        <v>61</v>
      </c>
      <c r="B9" s="619" t="s">
        <v>62</v>
      </c>
      <c r="C9" s="620"/>
      <c r="D9" s="574" t="s">
        <v>406</v>
      </c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3"/>
    </row>
    <row r="10" spans="1:16" ht="16.5" customHeight="1" thickBot="1">
      <c r="A10" s="627"/>
      <c r="B10" s="621"/>
      <c r="C10" s="622"/>
      <c r="D10" s="574" t="s">
        <v>63</v>
      </c>
      <c r="E10" s="575"/>
      <c r="F10" s="576"/>
      <c r="G10" s="585" t="s">
        <v>64</v>
      </c>
      <c r="H10" s="586"/>
      <c r="I10" s="586"/>
      <c r="J10" s="586"/>
      <c r="K10" s="586"/>
      <c r="L10" s="586"/>
      <c r="M10" s="586"/>
      <c r="N10" s="586"/>
      <c r="O10" s="586"/>
      <c r="P10" s="587"/>
    </row>
    <row r="11" spans="1:16" ht="18" customHeight="1">
      <c r="A11" s="627"/>
      <c r="B11" s="621"/>
      <c r="C11" s="623"/>
      <c r="D11" s="632">
        <v>2009</v>
      </c>
      <c r="E11" s="629">
        <v>2010</v>
      </c>
      <c r="F11" s="631" t="s">
        <v>289</v>
      </c>
      <c r="G11" s="635">
        <v>2012</v>
      </c>
      <c r="H11" s="634">
        <v>2013</v>
      </c>
      <c r="I11" s="577">
        <v>2014</v>
      </c>
      <c r="J11" s="577">
        <v>2015</v>
      </c>
      <c r="K11" s="577">
        <v>2016</v>
      </c>
      <c r="L11" s="577">
        <v>2017</v>
      </c>
      <c r="M11" s="577">
        <v>2018</v>
      </c>
      <c r="N11" s="577">
        <v>2019</v>
      </c>
      <c r="O11" s="577">
        <v>2020</v>
      </c>
      <c r="P11" s="577">
        <v>2021</v>
      </c>
    </row>
    <row r="12" spans="1:16" ht="14.25" customHeight="1" thickBot="1">
      <c r="A12" s="628"/>
      <c r="B12" s="624"/>
      <c r="C12" s="625"/>
      <c r="D12" s="633"/>
      <c r="E12" s="630"/>
      <c r="F12" s="584"/>
      <c r="G12" s="589"/>
      <c r="H12" s="611"/>
      <c r="I12" s="578"/>
      <c r="J12" s="578"/>
      <c r="K12" s="578"/>
      <c r="L12" s="578"/>
      <c r="M12" s="578"/>
      <c r="N12" s="578"/>
      <c r="O12" s="578"/>
      <c r="P12" s="578"/>
    </row>
    <row r="13" spans="1:16" s="32" customFormat="1" ht="19.5" customHeight="1">
      <c r="A13" s="82">
        <v>1</v>
      </c>
      <c r="B13" s="572" t="s">
        <v>65</v>
      </c>
      <c r="C13" s="573"/>
      <c r="D13" s="88">
        <f>D14+D15</f>
        <v>81699693</v>
      </c>
      <c r="E13" s="93">
        <f>E14+E15</f>
        <v>85095905</v>
      </c>
      <c r="F13" s="422">
        <f>F14+F15</f>
        <v>114278216</v>
      </c>
      <c r="G13" s="438">
        <f>G14+G15</f>
        <v>176402734</v>
      </c>
      <c r="H13" s="432">
        <f aca="true" t="shared" si="0" ref="H13:P13">H14+H15</f>
        <v>166387579</v>
      </c>
      <c r="I13" s="88">
        <f t="shared" si="0"/>
        <v>117381586</v>
      </c>
      <c r="J13" s="421">
        <f t="shared" si="0"/>
        <v>129434338</v>
      </c>
      <c r="K13" s="88">
        <f t="shared" si="0"/>
        <v>124848430</v>
      </c>
      <c r="L13" s="88">
        <f t="shared" si="0"/>
        <v>129078216</v>
      </c>
      <c r="M13" s="88">
        <f t="shared" si="0"/>
        <v>134530581</v>
      </c>
      <c r="N13" s="88">
        <f t="shared" si="0"/>
        <v>139658756</v>
      </c>
      <c r="O13" s="88">
        <f t="shared" si="0"/>
        <v>143547325</v>
      </c>
      <c r="P13" s="88">
        <f t="shared" si="0"/>
        <v>146658641</v>
      </c>
    </row>
    <row r="14" spans="1:16" ht="19.5" customHeight="1">
      <c r="A14" s="83" t="s">
        <v>66</v>
      </c>
      <c r="B14" s="581" t="s">
        <v>67</v>
      </c>
      <c r="C14" s="582"/>
      <c r="D14" s="85">
        <v>80665439</v>
      </c>
      <c r="E14" s="95">
        <v>84339995</v>
      </c>
      <c r="F14" s="423">
        <v>98522397</v>
      </c>
      <c r="G14" s="439">
        <v>105516146</v>
      </c>
      <c r="H14" s="447">
        <v>109125078</v>
      </c>
      <c r="I14" s="86">
        <v>117381586</v>
      </c>
      <c r="J14" s="85">
        <v>120434338</v>
      </c>
      <c r="K14" s="85">
        <v>124848430</v>
      </c>
      <c r="L14" s="85">
        <v>129078216</v>
      </c>
      <c r="M14" s="85">
        <v>134530581</v>
      </c>
      <c r="N14" s="85">
        <v>139658756</v>
      </c>
      <c r="O14" s="85">
        <v>143547325</v>
      </c>
      <c r="P14" s="85">
        <v>146658641</v>
      </c>
    </row>
    <row r="15" spans="1:16" ht="19.5" customHeight="1">
      <c r="A15" s="83" t="s">
        <v>68</v>
      </c>
      <c r="B15" s="581" t="s">
        <v>69</v>
      </c>
      <c r="C15" s="582"/>
      <c r="D15" s="85">
        <v>1034254</v>
      </c>
      <c r="E15" s="95">
        <v>755910</v>
      </c>
      <c r="F15" s="423">
        <v>15755819</v>
      </c>
      <c r="G15" s="439">
        <v>70886588</v>
      </c>
      <c r="H15" s="447">
        <v>57262501</v>
      </c>
      <c r="I15" s="86"/>
      <c r="J15" s="85">
        <v>9000000</v>
      </c>
      <c r="K15" s="85">
        <f>K16</f>
        <v>0</v>
      </c>
      <c r="L15" s="85">
        <f>L16</f>
        <v>0</v>
      </c>
      <c r="M15" s="86">
        <v>0</v>
      </c>
      <c r="N15" s="85">
        <f>N16</f>
        <v>0</v>
      </c>
      <c r="O15" s="85"/>
      <c r="P15" s="85"/>
    </row>
    <row r="16" spans="1:16" ht="20.25" customHeight="1">
      <c r="A16" s="83" t="s">
        <v>70</v>
      </c>
      <c r="B16" s="97" t="s">
        <v>71</v>
      </c>
      <c r="C16" s="417" t="s">
        <v>72</v>
      </c>
      <c r="D16" s="85">
        <v>197354</v>
      </c>
      <c r="E16" s="95">
        <v>255910</v>
      </c>
      <c r="F16" s="423">
        <v>13500000</v>
      </c>
      <c r="G16" s="439">
        <v>52000000</v>
      </c>
      <c r="H16" s="448">
        <v>26150000</v>
      </c>
      <c r="I16" s="86"/>
      <c r="J16" s="86"/>
      <c r="K16" s="86">
        <v>0</v>
      </c>
      <c r="L16" s="86">
        <v>0</v>
      </c>
      <c r="M16" s="86">
        <v>0</v>
      </c>
      <c r="N16" s="86">
        <v>0</v>
      </c>
      <c r="O16" s="86"/>
      <c r="P16" s="86"/>
    </row>
    <row r="17" spans="1:16" ht="54.75" customHeight="1">
      <c r="A17" s="87">
        <v>2</v>
      </c>
      <c r="B17" s="612" t="s">
        <v>73</v>
      </c>
      <c r="C17" s="613"/>
      <c r="D17" s="88">
        <v>71551205</v>
      </c>
      <c r="E17" s="93">
        <v>76029699</v>
      </c>
      <c r="F17" s="422">
        <v>88000247</v>
      </c>
      <c r="G17" s="438">
        <v>102216929</v>
      </c>
      <c r="H17" s="432">
        <v>82020230</v>
      </c>
      <c r="I17" s="88">
        <v>82730732</v>
      </c>
      <c r="J17" s="88">
        <v>82337332</v>
      </c>
      <c r="K17" s="88">
        <v>97905924</v>
      </c>
      <c r="L17" s="88">
        <v>100364353</v>
      </c>
      <c r="M17" s="88">
        <v>104926222</v>
      </c>
      <c r="N17" s="88">
        <v>105712332</v>
      </c>
      <c r="O17" s="88">
        <v>110641024</v>
      </c>
      <c r="P17" s="88">
        <v>113939185</v>
      </c>
    </row>
    <row r="18" spans="1:16" ht="24.75" customHeight="1">
      <c r="A18" s="83" t="s">
        <v>66</v>
      </c>
      <c r="B18" s="618" t="s">
        <v>71</v>
      </c>
      <c r="C18" s="418" t="s">
        <v>74</v>
      </c>
      <c r="D18" s="85">
        <v>25712119</v>
      </c>
      <c r="E18" s="95">
        <v>28031630</v>
      </c>
      <c r="F18" s="423">
        <v>31812111</v>
      </c>
      <c r="G18" s="439">
        <v>38451389</v>
      </c>
      <c r="H18" s="447">
        <f aca="true" t="shared" si="1" ref="H18:N18">G18*102%</f>
        <v>39220416.78</v>
      </c>
      <c r="I18" s="86">
        <f t="shared" si="1"/>
        <v>40004825.115600005</v>
      </c>
      <c r="J18" s="85">
        <f t="shared" si="1"/>
        <v>40804921.617912</v>
      </c>
      <c r="K18" s="85">
        <f t="shared" si="1"/>
        <v>41621020.050270244</v>
      </c>
      <c r="L18" s="85">
        <f t="shared" si="1"/>
        <v>42453440.45127565</v>
      </c>
      <c r="M18" s="85">
        <f t="shared" si="1"/>
        <v>43302509.26030116</v>
      </c>
      <c r="N18" s="85">
        <f t="shared" si="1"/>
        <v>44168559.44550718</v>
      </c>
      <c r="O18" s="85">
        <f>M18*102%</f>
        <v>44168559.44550718</v>
      </c>
      <c r="P18" s="85">
        <f>N18*102%</f>
        <v>45051930.634417325</v>
      </c>
    </row>
    <row r="19" spans="1:16" ht="24.75" customHeight="1">
      <c r="A19" s="83" t="s">
        <v>68</v>
      </c>
      <c r="B19" s="618"/>
      <c r="C19" s="418" t="s">
        <v>75</v>
      </c>
      <c r="D19" s="85">
        <v>7561065</v>
      </c>
      <c r="E19" s="95">
        <v>8358243</v>
      </c>
      <c r="F19" s="423">
        <v>9944058</v>
      </c>
      <c r="G19" s="439">
        <v>12388600</v>
      </c>
      <c r="H19" s="447">
        <v>7950000</v>
      </c>
      <c r="I19" s="86">
        <v>7980000</v>
      </c>
      <c r="J19" s="85">
        <v>8010000</v>
      </c>
      <c r="K19" s="85">
        <v>8170200</v>
      </c>
      <c r="L19" s="85">
        <f>K19*102%</f>
        <v>8333604</v>
      </c>
      <c r="M19" s="85">
        <f>L19*102%</f>
        <v>8500276.08</v>
      </c>
      <c r="N19" s="85">
        <f>M19*102%</f>
        <v>8670281.6016</v>
      </c>
      <c r="O19" s="85">
        <f>M19*102%</f>
        <v>8670281.6016</v>
      </c>
      <c r="P19" s="85">
        <f>N19*102%</f>
        <v>8843687.233632</v>
      </c>
    </row>
    <row r="20" spans="1:16" ht="20.25" customHeight="1">
      <c r="A20" s="83" t="s">
        <v>76</v>
      </c>
      <c r="B20" s="618"/>
      <c r="C20" s="418" t="s">
        <v>77</v>
      </c>
      <c r="D20" s="85">
        <v>0</v>
      </c>
      <c r="E20" s="95">
        <v>0</v>
      </c>
      <c r="F20" s="446">
        <v>0</v>
      </c>
      <c r="G20" s="444"/>
      <c r="H20" s="436">
        <v>0</v>
      </c>
      <c r="I20" s="84"/>
      <c r="J20" s="84"/>
      <c r="K20" s="84"/>
      <c r="L20" s="84"/>
      <c r="M20" s="84"/>
      <c r="N20" s="84"/>
      <c r="O20" s="84"/>
      <c r="P20" s="84"/>
    </row>
    <row r="21" spans="1:16" ht="35.25" customHeight="1">
      <c r="A21" s="83" t="s">
        <v>70</v>
      </c>
      <c r="B21" s="618"/>
      <c r="C21" s="418" t="s">
        <v>78</v>
      </c>
      <c r="D21" s="84">
        <v>0</v>
      </c>
      <c r="E21" s="95">
        <v>0</v>
      </c>
      <c r="F21" s="446">
        <v>0</v>
      </c>
      <c r="G21" s="444">
        <v>0</v>
      </c>
      <c r="H21" s="436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</row>
    <row r="22" spans="1:16" ht="31.5">
      <c r="A22" s="83" t="s">
        <v>79</v>
      </c>
      <c r="B22" s="618"/>
      <c r="C22" s="418" t="s">
        <v>80</v>
      </c>
      <c r="D22" s="85" t="s">
        <v>81</v>
      </c>
      <c r="E22" s="95" t="s">
        <v>81</v>
      </c>
      <c r="F22" s="423">
        <v>1309987</v>
      </c>
      <c r="G22" s="439">
        <f>'Wykaz przedsięwzięć'!L13</f>
        <v>12473362</v>
      </c>
      <c r="H22" s="448">
        <f>'Wykaz przedsięwzięć'!M108</f>
        <v>9024790</v>
      </c>
      <c r="I22" s="86">
        <f>'Wykaz przedsięwzięć'!N108</f>
        <v>5933714</v>
      </c>
      <c r="J22" s="86">
        <f>'Wykaz przedsięwzięć'!O108</f>
        <v>3761310</v>
      </c>
      <c r="K22" s="86">
        <f>'Wykaz przedsięwzięć'!P108</f>
        <v>3558490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</row>
    <row r="23" spans="1:16" ht="38.25" customHeight="1">
      <c r="A23" s="90">
        <v>3</v>
      </c>
      <c r="B23" s="579" t="s">
        <v>82</v>
      </c>
      <c r="C23" s="580"/>
      <c r="D23" s="91">
        <f aca="true" t="shared" si="2" ref="D23:P23">D13-D17</f>
        <v>10148488</v>
      </c>
      <c r="E23" s="93">
        <f>E13-E17</f>
        <v>9066206</v>
      </c>
      <c r="F23" s="422">
        <f t="shared" si="2"/>
        <v>26277969</v>
      </c>
      <c r="G23" s="438">
        <f>G13-G17</f>
        <v>74185805</v>
      </c>
      <c r="H23" s="429">
        <f t="shared" si="2"/>
        <v>84367349</v>
      </c>
      <c r="I23" s="88">
        <f t="shared" si="2"/>
        <v>34650854</v>
      </c>
      <c r="J23" s="91">
        <f>J13-J17</f>
        <v>47097006</v>
      </c>
      <c r="K23" s="91">
        <f t="shared" si="2"/>
        <v>26942506</v>
      </c>
      <c r="L23" s="91">
        <f t="shared" si="2"/>
        <v>28713863</v>
      </c>
      <c r="M23" s="91">
        <f t="shared" si="2"/>
        <v>29604359</v>
      </c>
      <c r="N23" s="91">
        <f t="shared" si="2"/>
        <v>33946424</v>
      </c>
      <c r="O23" s="91">
        <f>O13-O17</f>
        <v>32906301</v>
      </c>
      <c r="P23" s="91">
        <f t="shared" si="2"/>
        <v>32719456</v>
      </c>
    </row>
    <row r="24" spans="1:16" ht="39.75" customHeight="1">
      <c r="A24" s="90">
        <v>4</v>
      </c>
      <c r="B24" s="579" t="s">
        <v>83</v>
      </c>
      <c r="C24" s="580"/>
      <c r="D24" s="92">
        <v>3719761</v>
      </c>
      <c r="E24" s="93">
        <v>1245475</v>
      </c>
      <c r="F24" s="425">
        <v>427077</v>
      </c>
      <c r="G24" s="441">
        <f>G25</f>
        <v>4004678</v>
      </c>
      <c r="H24" s="431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</row>
    <row r="25" spans="1:16" ht="51" customHeight="1">
      <c r="A25" s="83" t="s">
        <v>66</v>
      </c>
      <c r="B25" s="94" t="s">
        <v>71</v>
      </c>
      <c r="C25" s="419" t="s">
        <v>84</v>
      </c>
      <c r="D25" s="84">
        <v>0</v>
      </c>
      <c r="E25" s="95"/>
      <c r="F25" s="446">
        <v>375492</v>
      </c>
      <c r="G25" s="444">
        <v>4004678</v>
      </c>
      <c r="H25" s="449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ht="33.75" customHeight="1">
      <c r="A26" s="90">
        <v>5</v>
      </c>
      <c r="B26" s="579" t="s">
        <v>85</v>
      </c>
      <c r="C26" s="580"/>
      <c r="D26" s="91">
        <v>0</v>
      </c>
      <c r="E26" s="93">
        <v>0</v>
      </c>
      <c r="F26" s="422">
        <v>0</v>
      </c>
      <c r="G26" s="438">
        <v>0</v>
      </c>
      <c r="H26" s="429">
        <v>0</v>
      </c>
      <c r="I26" s="88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</row>
    <row r="27" spans="1:16" ht="20.25" customHeight="1">
      <c r="A27" s="90">
        <v>6</v>
      </c>
      <c r="B27" s="579" t="s">
        <v>86</v>
      </c>
      <c r="C27" s="580"/>
      <c r="D27" s="91">
        <f aca="true" t="shared" si="3" ref="D27:P27">D23+D24+D26</f>
        <v>13868249</v>
      </c>
      <c r="E27" s="93">
        <f>E23+E24+E26</f>
        <v>10311681</v>
      </c>
      <c r="F27" s="422">
        <f>F23+F24+F26</f>
        <v>26705046</v>
      </c>
      <c r="G27" s="438">
        <f>G23+G24+G26</f>
        <v>78190483</v>
      </c>
      <c r="H27" s="429">
        <f t="shared" si="3"/>
        <v>84367349</v>
      </c>
      <c r="I27" s="88">
        <f t="shared" si="3"/>
        <v>34650854</v>
      </c>
      <c r="J27" s="91">
        <f>J23+J24+J26</f>
        <v>47097006</v>
      </c>
      <c r="K27" s="91">
        <f t="shared" si="3"/>
        <v>26942506</v>
      </c>
      <c r="L27" s="91">
        <f t="shared" si="3"/>
        <v>28713863</v>
      </c>
      <c r="M27" s="91">
        <f t="shared" si="3"/>
        <v>29604359</v>
      </c>
      <c r="N27" s="91">
        <f t="shared" si="3"/>
        <v>33946424</v>
      </c>
      <c r="O27" s="91">
        <f t="shared" si="3"/>
        <v>32906301</v>
      </c>
      <c r="P27" s="91">
        <f t="shared" si="3"/>
        <v>32719456</v>
      </c>
    </row>
    <row r="28" spans="1:16" ht="20.25" customHeight="1">
      <c r="A28" s="90">
        <v>7</v>
      </c>
      <c r="B28" s="579" t="s">
        <v>87</v>
      </c>
      <c r="C28" s="580"/>
      <c r="D28" s="92">
        <f aca="true" t="shared" si="4" ref="D28:P28">D29+D33</f>
        <v>4502192</v>
      </c>
      <c r="E28" s="93">
        <f>E29+E33</f>
        <v>9065858</v>
      </c>
      <c r="F28" s="425">
        <f t="shared" si="4"/>
        <v>6883561</v>
      </c>
      <c r="G28" s="441">
        <v>9232930</v>
      </c>
      <c r="H28" s="435">
        <f t="shared" si="4"/>
        <v>10436843</v>
      </c>
      <c r="I28" s="93">
        <f t="shared" si="4"/>
        <v>9859854</v>
      </c>
      <c r="J28" s="92">
        <f t="shared" si="4"/>
        <v>8621006</v>
      </c>
      <c r="K28" s="92">
        <f t="shared" si="4"/>
        <v>8442506</v>
      </c>
      <c r="L28" s="92">
        <f t="shared" si="4"/>
        <v>8713863</v>
      </c>
      <c r="M28" s="92">
        <f t="shared" si="4"/>
        <v>6604359.26</v>
      </c>
      <c r="N28" s="92">
        <f t="shared" si="4"/>
        <v>8446423.54</v>
      </c>
      <c r="O28" s="92">
        <f t="shared" si="4"/>
        <v>6906301.43</v>
      </c>
      <c r="P28" s="92">
        <f t="shared" si="4"/>
        <v>4719456.3225</v>
      </c>
    </row>
    <row r="29" spans="1:17" s="19" customFormat="1" ht="36" customHeight="1">
      <c r="A29" s="96" t="s">
        <v>66</v>
      </c>
      <c r="B29" s="616" t="s">
        <v>88</v>
      </c>
      <c r="C29" s="608"/>
      <c r="D29" s="86">
        <v>3463314</v>
      </c>
      <c r="E29" s="95">
        <v>6940085</v>
      </c>
      <c r="F29" s="423">
        <v>4551585</v>
      </c>
      <c r="G29" s="439">
        <f>SUM(G30:G32)</f>
        <v>6935040</v>
      </c>
      <c r="H29" s="448">
        <f>SUM(H30:H32)</f>
        <v>7266899</v>
      </c>
      <c r="I29" s="86">
        <f aca="true" t="shared" si="5" ref="I29:P29">SUM(I30:I32)</f>
        <v>7106453</v>
      </c>
      <c r="J29" s="86">
        <f t="shared" si="5"/>
        <v>6150000</v>
      </c>
      <c r="K29" s="86">
        <f t="shared" si="5"/>
        <v>6250000</v>
      </c>
      <c r="L29" s="86">
        <f t="shared" si="5"/>
        <v>6801170</v>
      </c>
      <c r="M29" s="86">
        <f t="shared" si="5"/>
        <v>5062028</v>
      </c>
      <c r="N29" s="86">
        <f t="shared" si="5"/>
        <v>7350523</v>
      </c>
      <c r="O29" s="86">
        <f t="shared" si="5"/>
        <v>6300000</v>
      </c>
      <c r="P29" s="86">
        <f t="shared" si="5"/>
        <v>4523949</v>
      </c>
      <c r="Q29" s="30"/>
    </row>
    <row r="30" spans="1:17" s="19" customFormat="1" ht="19.5" customHeight="1">
      <c r="A30" s="96"/>
      <c r="B30" s="617" t="s">
        <v>71</v>
      </c>
      <c r="C30" s="420" t="s">
        <v>89</v>
      </c>
      <c r="D30" s="86">
        <v>2963314</v>
      </c>
      <c r="E30" s="95">
        <v>3340085</v>
      </c>
      <c r="F30" s="423">
        <v>2141585</v>
      </c>
      <c r="G30" s="439">
        <f>Arkusz5!J9</f>
        <v>3535040</v>
      </c>
      <c r="H30" s="448">
        <f>Arkusz5!J13</f>
        <v>3666899</v>
      </c>
      <c r="I30" s="86">
        <f>Arkusz5!J17</f>
        <v>3506453</v>
      </c>
      <c r="J30" s="86">
        <f>Arkusz5!J21</f>
        <v>2550000</v>
      </c>
      <c r="K30" s="86">
        <f>Arkusz5!J25</f>
        <v>2550000</v>
      </c>
      <c r="L30" s="86">
        <f>Arkusz5!J29</f>
        <v>2401170</v>
      </c>
      <c r="M30" s="86">
        <f>Arkusz5!J33</f>
        <v>62028</v>
      </c>
      <c r="N30" s="86">
        <f>Arkusz5!J37</f>
        <v>750523</v>
      </c>
      <c r="O30" s="86">
        <f>Arkusz5!J41</f>
        <v>600000</v>
      </c>
      <c r="P30" s="86">
        <f>Arkusz5!J45</f>
        <v>423949</v>
      </c>
      <c r="Q30" s="30"/>
    </row>
    <row r="31" spans="1:17" s="19" customFormat="1" ht="19.5" customHeight="1">
      <c r="A31" s="96"/>
      <c r="B31" s="617"/>
      <c r="C31" s="420" t="s">
        <v>90</v>
      </c>
      <c r="D31" s="86">
        <v>500000</v>
      </c>
      <c r="E31" s="95">
        <v>3600000</v>
      </c>
      <c r="F31" s="423">
        <v>410000</v>
      </c>
      <c r="G31" s="439">
        <v>400000</v>
      </c>
      <c r="H31" s="448">
        <v>600000</v>
      </c>
      <c r="I31" s="86">
        <v>600000</v>
      </c>
      <c r="J31" s="86">
        <v>600000</v>
      </c>
      <c r="K31" s="86">
        <v>700000</v>
      </c>
      <c r="L31" s="86">
        <v>1400000</v>
      </c>
      <c r="M31" s="86"/>
      <c r="N31" s="86"/>
      <c r="O31" s="86"/>
      <c r="P31" s="86"/>
      <c r="Q31" s="30"/>
    </row>
    <row r="32" spans="1:17" s="19" customFormat="1" ht="19.5" customHeight="1">
      <c r="A32" s="96"/>
      <c r="B32" s="617"/>
      <c r="C32" s="420" t="s">
        <v>91</v>
      </c>
      <c r="D32" s="86"/>
      <c r="E32" s="95"/>
      <c r="F32" s="423">
        <v>2000000</v>
      </c>
      <c r="G32" s="439">
        <f>'spł obligacji'!J9</f>
        <v>3000000</v>
      </c>
      <c r="H32" s="448">
        <f>'spł obligacji'!J13</f>
        <v>3000000</v>
      </c>
      <c r="I32" s="86">
        <f>'spł obligacji'!J17</f>
        <v>3000000</v>
      </c>
      <c r="J32" s="86">
        <f>'spł obligacji'!J21</f>
        <v>3000000</v>
      </c>
      <c r="K32" s="86">
        <f>'spł obligacji'!J25</f>
        <v>3000000</v>
      </c>
      <c r="L32" s="86">
        <f>'spł obligacji'!J29</f>
        <v>3000000</v>
      </c>
      <c r="M32" s="86">
        <f>'spł obligacji'!J33</f>
        <v>5000000</v>
      </c>
      <c r="N32" s="86">
        <f>'spł obligacji'!J37</f>
        <v>6600000</v>
      </c>
      <c r="O32" s="86">
        <f>'spł obligacji'!J41</f>
        <v>5700000</v>
      </c>
      <c r="P32" s="86">
        <f>'spł obligacji'!J45</f>
        <v>4100000</v>
      </c>
      <c r="Q32" s="30"/>
    </row>
    <row r="33" spans="1:16" ht="20.25" customHeight="1">
      <c r="A33" s="83" t="s">
        <v>68</v>
      </c>
      <c r="B33" s="581" t="s">
        <v>92</v>
      </c>
      <c r="C33" s="582"/>
      <c r="D33" s="85">
        <v>1038878</v>
      </c>
      <c r="E33" s="95">
        <v>2125773</v>
      </c>
      <c r="F33" s="423">
        <v>2331976</v>
      </c>
      <c r="G33" s="439">
        <f>Arkusz5!K9+'spł obligacji'!K4+161250</f>
        <v>2297890</v>
      </c>
      <c r="H33" s="447">
        <f>'spł obligacji'!K13+Arkusz5!K13+146250</f>
        <v>3169944</v>
      </c>
      <c r="I33" s="86">
        <f>'spł obligacji'!K17+Arkusz5!K17+123750</f>
        <v>2753401</v>
      </c>
      <c r="J33" s="85">
        <f>'spł obligacji'!K21+Arkusz5!K21+101250</f>
        <v>2471006</v>
      </c>
      <c r="K33" s="85">
        <f>'spł obligacji'!K25+Arkusz5!K25+78750</f>
        <v>2192506</v>
      </c>
      <c r="L33" s="85">
        <f>'spł obligacji'!K29+Arkusz5!K29+52500</f>
        <v>1912693.0000000002</v>
      </c>
      <c r="M33" s="85">
        <f>'spł obligacji'!K33+Arkusz5!K33</f>
        <v>1542331.2600000002</v>
      </c>
      <c r="N33" s="85">
        <f>'spł obligacji'!K37+Arkusz5!K37</f>
        <v>1095900.54</v>
      </c>
      <c r="O33" s="85">
        <f>Arkusz5!K41+'spł obligacji'!K41</f>
        <v>606301.43</v>
      </c>
      <c r="P33" s="85">
        <f>'spł obligacji'!K45+Arkusz5!K45</f>
        <v>195507.32250000004</v>
      </c>
    </row>
    <row r="34" spans="1:16" ht="20.25" customHeight="1">
      <c r="A34" s="90">
        <v>8</v>
      </c>
      <c r="B34" s="579" t="s">
        <v>93</v>
      </c>
      <c r="C34" s="580"/>
      <c r="D34" s="91">
        <v>0</v>
      </c>
      <c r="E34" s="93">
        <v>40000</v>
      </c>
      <c r="F34" s="422">
        <v>0</v>
      </c>
      <c r="G34" s="438">
        <v>0</v>
      </c>
      <c r="H34" s="429">
        <v>0</v>
      </c>
      <c r="I34" s="88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</row>
    <row r="35" spans="1:16" ht="37.5" customHeight="1">
      <c r="A35" s="87">
        <v>9</v>
      </c>
      <c r="B35" s="612" t="s">
        <v>213</v>
      </c>
      <c r="C35" s="613"/>
      <c r="D35" s="88">
        <f aca="true" t="shared" si="6" ref="D35:M35">D27-D28-D34</f>
        <v>9366057</v>
      </c>
      <c r="E35" s="93">
        <f>E27-E28-E34</f>
        <v>1205823</v>
      </c>
      <c r="F35" s="422">
        <f>F27-F28-F34</f>
        <v>19821485</v>
      </c>
      <c r="G35" s="438">
        <f>G27-G28-G34</f>
        <v>68957553</v>
      </c>
      <c r="H35" s="432">
        <f>H27-H28-H34</f>
        <v>73930506</v>
      </c>
      <c r="I35" s="88">
        <f t="shared" si="6"/>
        <v>24791000</v>
      </c>
      <c r="J35" s="88">
        <f t="shared" si="6"/>
        <v>38476000</v>
      </c>
      <c r="K35" s="88">
        <f t="shared" si="6"/>
        <v>18500000</v>
      </c>
      <c r="L35" s="88">
        <f t="shared" si="6"/>
        <v>20000000</v>
      </c>
      <c r="M35" s="88">
        <f t="shared" si="6"/>
        <v>22999999.740000002</v>
      </c>
      <c r="N35" s="88">
        <f>N27-N28-N34</f>
        <v>25500000.46</v>
      </c>
      <c r="O35" s="88">
        <f>O36</f>
        <v>26000000</v>
      </c>
      <c r="P35" s="88">
        <f>P36</f>
        <v>28000000</v>
      </c>
    </row>
    <row r="36" spans="1:16" ht="20.25" customHeight="1">
      <c r="A36" s="87">
        <v>10</v>
      </c>
      <c r="B36" s="612" t="s">
        <v>94</v>
      </c>
      <c r="C36" s="613"/>
      <c r="D36" s="88">
        <v>33260582</v>
      </c>
      <c r="E36" s="93">
        <v>9778746</v>
      </c>
      <c r="F36" s="422">
        <v>33421485</v>
      </c>
      <c r="G36" s="438">
        <v>75857553</v>
      </c>
      <c r="H36" s="432">
        <f>H37</f>
        <v>73930506</v>
      </c>
      <c r="I36" s="88">
        <f>I37</f>
        <v>24791000</v>
      </c>
      <c r="J36" s="88">
        <f>J37</f>
        <v>38476000</v>
      </c>
      <c r="K36" s="88">
        <v>18500000</v>
      </c>
      <c r="L36" s="88">
        <v>20000000</v>
      </c>
      <c r="M36" s="88">
        <v>23000000</v>
      </c>
      <c r="N36" s="88">
        <v>25500000</v>
      </c>
      <c r="O36" s="88">
        <v>26000000</v>
      </c>
      <c r="P36" s="88">
        <v>28000000</v>
      </c>
    </row>
    <row r="37" spans="1:16" ht="36" customHeight="1">
      <c r="A37" s="83" t="s">
        <v>66</v>
      </c>
      <c r="B37" s="97" t="s">
        <v>71</v>
      </c>
      <c r="C37" s="418" t="s">
        <v>95</v>
      </c>
      <c r="D37" s="85" t="s">
        <v>81</v>
      </c>
      <c r="E37" s="95" t="s">
        <v>81</v>
      </c>
      <c r="F37" s="423">
        <v>10341509</v>
      </c>
      <c r="G37" s="439">
        <f>'Wykaz przedsięwzięć'!L15</f>
        <v>60396266</v>
      </c>
      <c r="H37" s="448">
        <f>'Wykaz przedsięwzięć'!M14</f>
        <v>73930506</v>
      </c>
      <c r="I37" s="86">
        <f>'Wykaz przedsięwzięć'!N15</f>
        <v>24791000</v>
      </c>
      <c r="J37" s="86">
        <f>'Wykaz przedsięwzięć'!O15</f>
        <v>38476000</v>
      </c>
      <c r="K37" s="86">
        <f>'Wykaz przedsięwzięć'!P15</f>
        <v>2360000</v>
      </c>
      <c r="L37" s="86"/>
      <c r="M37" s="86"/>
      <c r="N37" s="86"/>
      <c r="O37" s="86"/>
      <c r="P37" s="86"/>
    </row>
    <row r="38" spans="1:16" ht="15">
      <c r="A38" s="98"/>
      <c r="B38" s="99"/>
      <c r="C38" s="100"/>
      <c r="D38" s="101"/>
      <c r="E38" s="229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30" customHeight="1">
      <c r="A39" s="103"/>
      <c r="B39" s="104"/>
      <c r="C39" s="105"/>
      <c r="D39" s="106"/>
      <c r="E39" s="230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30" customHeight="1">
      <c r="A40" s="103"/>
      <c r="B40" s="104"/>
      <c r="C40" s="105"/>
      <c r="D40" s="106"/>
      <c r="E40" s="230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ht="37.5" customHeight="1">
      <c r="A41" s="103"/>
      <c r="B41" s="104"/>
      <c r="C41" s="105"/>
      <c r="D41" s="106"/>
      <c r="E41" s="230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ht="38.25" customHeight="1">
      <c r="A42" s="103"/>
      <c r="B42" s="104"/>
      <c r="C42" s="105"/>
      <c r="D42" s="106"/>
      <c r="E42" s="230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1:16" ht="27" customHeight="1">
      <c r="A43" s="103"/>
      <c r="B43" s="104"/>
      <c r="C43" s="105"/>
      <c r="D43" s="106"/>
      <c r="E43" s="230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1:16" ht="28.5" customHeight="1">
      <c r="A44" s="103"/>
      <c r="B44" s="104"/>
      <c r="C44" s="105"/>
      <c r="D44" s="106"/>
      <c r="E44" s="230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1:16" ht="15">
      <c r="A45" s="103"/>
      <c r="B45" s="104"/>
      <c r="C45" s="105"/>
      <c r="D45" s="106"/>
      <c r="E45" s="230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1:16" ht="18" customHeight="1">
      <c r="A46" s="103"/>
      <c r="B46" s="104"/>
      <c r="C46" s="105"/>
      <c r="D46" s="106"/>
      <c r="E46" s="230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1:16" ht="6.75" customHeight="1" thickBot="1">
      <c r="A47" s="103"/>
      <c r="B47" s="104"/>
      <c r="C47" s="105"/>
      <c r="D47" s="106"/>
      <c r="E47" s="230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ht="17.25" customHeight="1" thickBot="1">
      <c r="A48" s="601" t="s">
        <v>61</v>
      </c>
      <c r="B48" s="605" t="s">
        <v>62</v>
      </c>
      <c r="C48" s="605"/>
      <c r="D48" s="574" t="s">
        <v>406</v>
      </c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3"/>
    </row>
    <row r="49" spans="1:16" ht="17.25" customHeight="1" thickBot="1">
      <c r="A49" s="601"/>
      <c r="B49" s="605"/>
      <c r="C49" s="605"/>
      <c r="D49" s="574" t="s">
        <v>63</v>
      </c>
      <c r="E49" s="575"/>
      <c r="F49" s="576"/>
      <c r="G49" s="585" t="s">
        <v>64</v>
      </c>
      <c r="H49" s="586"/>
      <c r="I49" s="586"/>
      <c r="J49" s="586"/>
      <c r="K49" s="586"/>
      <c r="L49" s="586"/>
      <c r="M49" s="586"/>
      <c r="N49" s="586"/>
      <c r="O49" s="586"/>
      <c r="P49" s="587"/>
    </row>
    <row r="50" spans="1:16" ht="13.5" customHeight="1" thickBot="1">
      <c r="A50" s="601"/>
      <c r="B50" s="605"/>
      <c r="C50" s="574"/>
      <c r="D50" s="604">
        <v>2009</v>
      </c>
      <c r="E50" s="570">
        <v>2010</v>
      </c>
      <c r="F50" s="583" t="s">
        <v>289</v>
      </c>
      <c r="G50" s="589">
        <v>2012</v>
      </c>
      <c r="H50" s="611">
        <v>2013</v>
      </c>
      <c r="I50" s="578">
        <v>2014</v>
      </c>
      <c r="J50" s="578">
        <v>2015</v>
      </c>
      <c r="K50" s="578">
        <v>2016</v>
      </c>
      <c r="L50" s="578">
        <v>2017</v>
      </c>
      <c r="M50" s="578">
        <v>2018</v>
      </c>
      <c r="N50" s="578">
        <v>2019</v>
      </c>
      <c r="O50" s="578">
        <v>2020</v>
      </c>
      <c r="P50" s="578">
        <v>2021</v>
      </c>
    </row>
    <row r="51" spans="1:16" ht="24.75" customHeight="1" thickBot="1">
      <c r="A51" s="601"/>
      <c r="B51" s="605"/>
      <c r="C51" s="574"/>
      <c r="D51" s="578"/>
      <c r="E51" s="571"/>
      <c r="F51" s="584"/>
      <c r="G51" s="589"/>
      <c r="H51" s="611"/>
      <c r="I51" s="578"/>
      <c r="J51" s="578"/>
      <c r="K51" s="578"/>
      <c r="L51" s="578"/>
      <c r="M51" s="578"/>
      <c r="N51" s="578"/>
      <c r="O51" s="578"/>
      <c r="P51" s="578"/>
    </row>
    <row r="52" spans="1:16" ht="27" customHeight="1">
      <c r="A52" s="90">
        <v>11</v>
      </c>
      <c r="B52" s="579" t="s">
        <v>96</v>
      </c>
      <c r="C52" s="580"/>
      <c r="D52" s="91">
        <v>25140000</v>
      </c>
      <c r="E52" s="93">
        <v>9000000</v>
      </c>
      <c r="F52" s="422">
        <f>SUM(F53:F56)</f>
        <v>13600000</v>
      </c>
      <c r="G52" s="438">
        <f>SUM(G53:G56)</f>
        <v>6900000</v>
      </c>
      <c r="H52" s="429">
        <v>0</v>
      </c>
      <c r="I52" s="88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</row>
    <row r="53" spans="1:16" ht="21" customHeight="1">
      <c r="A53" s="108"/>
      <c r="B53" s="592" t="s">
        <v>71</v>
      </c>
      <c r="C53" s="420" t="s">
        <v>89</v>
      </c>
      <c r="D53" s="85">
        <v>6330000</v>
      </c>
      <c r="E53" s="86"/>
      <c r="F53" s="423">
        <v>2100000</v>
      </c>
      <c r="G53" s="439"/>
      <c r="H53" s="429"/>
      <c r="I53" s="88"/>
      <c r="J53" s="91"/>
      <c r="K53" s="91"/>
      <c r="L53" s="91"/>
      <c r="M53" s="91"/>
      <c r="N53" s="91"/>
      <c r="O53" s="91"/>
      <c r="P53" s="91"/>
    </row>
    <row r="54" spans="1:16" ht="21" customHeight="1">
      <c r="A54" s="126"/>
      <c r="B54" s="593"/>
      <c r="C54" s="420" t="s">
        <v>90</v>
      </c>
      <c r="D54" s="85">
        <v>4810000</v>
      </c>
      <c r="E54" s="86"/>
      <c r="F54" s="423">
        <v>0</v>
      </c>
      <c r="G54" s="439"/>
      <c r="H54" s="429"/>
      <c r="I54" s="88"/>
      <c r="J54" s="91"/>
      <c r="K54" s="91"/>
      <c r="L54" s="91"/>
      <c r="M54" s="91"/>
      <c r="N54" s="91"/>
      <c r="O54" s="91"/>
      <c r="P54" s="91"/>
    </row>
    <row r="55" spans="1:16" ht="21" customHeight="1">
      <c r="A55" s="126"/>
      <c r="B55" s="593"/>
      <c r="C55" s="420" t="s">
        <v>214</v>
      </c>
      <c r="D55" s="85">
        <v>14000000</v>
      </c>
      <c r="E55" s="86">
        <v>9000000</v>
      </c>
      <c r="F55" s="423">
        <v>7000000</v>
      </c>
      <c r="G55" s="439"/>
      <c r="H55" s="429"/>
      <c r="I55" s="88"/>
      <c r="J55" s="91"/>
      <c r="K55" s="91"/>
      <c r="L55" s="91"/>
      <c r="M55" s="91"/>
      <c r="N55" s="91"/>
      <c r="O55" s="91"/>
      <c r="P55" s="91"/>
    </row>
    <row r="56" spans="1:16" ht="36.75" customHeight="1">
      <c r="A56" s="126"/>
      <c r="B56" s="594"/>
      <c r="C56" s="420" t="s">
        <v>215</v>
      </c>
      <c r="D56" s="85"/>
      <c r="E56" s="86"/>
      <c r="F56" s="423">
        <v>4500000</v>
      </c>
      <c r="G56" s="439">
        <v>6900000</v>
      </c>
      <c r="H56" s="429"/>
      <c r="I56" s="88"/>
      <c r="J56" s="91"/>
      <c r="K56" s="91"/>
      <c r="L56" s="91"/>
      <c r="M56" s="91"/>
      <c r="N56" s="91"/>
      <c r="O56" s="91"/>
      <c r="P56" s="91"/>
    </row>
    <row r="57" spans="1:17" ht="68.25" customHeight="1">
      <c r="A57" s="90" t="s">
        <v>66</v>
      </c>
      <c r="B57" s="595" t="s">
        <v>98</v>
      </c>
      <c r="C57" s="596"/>
      <c r="D57" s="85">
        <v>3719761</v>
      </c>
      <c r="E57" s="86">
        <v>1245475</v>
      </c>
      <c r="F57" s="423">
        <v>427077</v>
      </c>
      <c r="G57" s="439">
        <v>4004678</v>
      </c>
      <c r="H57" s="429"/>
      <c r="I57" s="88"/>
      <c r="J57" s="91"/>
      <c r="K57" s="91"/>
      <c r="L57" s="91"/>
      <c r="M57" s="91"/>
      <c r="N57" s="91"/>
      <c r="O57" s="91"/>
      <c r="P57" s="91"/>
      <c r="Q57" s="473"/>
    </row>
    <row r="58" spans="1:17" ht="21" customHeight="1">
      <c r="A58" s="90" t="s">
        <v>68</v>
      </c>
      <c r="B58" s="595" t="s">
        <v>99</v>
      </c>
      <c r="C58" s="596"/>
      <c r="D58" s="85"/>
      <c r="E58" s="86"/>
      <c r="F58" s="423"/>
      <c r="G58" s="439"/>
      <c r="H58" s="429"/>
      <c r="I58" s="88"/>
      <c r="J58" s="91"/>
      <c r="K58" s="91"/>
      <c r="L58" s="91"/>
      <c r="M58" s="91"/>
      <c r="N58" s="91"/>
      <c r="O58" s="91"/>
      <c r="P58" s="91"/>
      <c r="Q58" s="473"/>
    </row>
    <row r="59" spans="1:17" ht="29.25" customHeight="1">
      <c r="A59" s="109">
        <v>12</v>
      </c>
      <c r="B59" s="599" t="s">
        <v>100</v>
      </c>
      <c r="C59" s="600"/>
      <c r="D59" s="225">
        <f aca="true" t="shared" si="7" ref="D59:P59">D35-D36+D52</f>
        <v>1245475</v>
      </c>
      <c r="E59" s="226">
        <f t="shared" si="7"/>
        <v>427077</v>
      </c>
      <c r="F59" s="424">
        <f t="shared" si="7"/>
        <v>0</v>
      </c>
      <c r="G59" s="440">
        <f t="shared" si="7"/>
        <v>0</v>
      </c>
      <c r="H59" s="430">
        <f t="shared" si="7"/>
        <v>0</v>
      </c>
      <c r="I59" s="110">
        <f t="shared" si="7"/>
        <v>0</v>
      </c>
      <c r="J59" s="110">
        <f t="shared" si="7"/>
        <v>0</v>
      </c>
      <c r="K59" s="110">
        <f t="shared" si="7"/>
        <v>0</v>
      </c>
      <c r="L59" s="110">
        <f t="shared" si="7"/>
        <v>0</v>
      </c>
      <c r="M59" s="110">
        <f t="shared" si="7"/>
        <v>-0.25999999791383743</v>
      </c>
      <c r="N59" s="110">
        <f t="shared" si="7"/>
        <v>0.46000000089406967</v>
      </c>
      <c r="O59" s="110">
        <f t="shared" si="7"/>
        <v>0</v>
      </c>
      <c r="P59" s="110">
        <f t="shared" si="7"/>
        <v>0</v>
      </c>
      <c r="Q59" s="474"/>
    </row>
    <row r="60" spans="1:17" ht="22.5" customHeight="1">
      <c r="A60" s="111">
        <v>13</v>
      </c>
      <c r="B60" s="614" t="s">
        <v>101</v>
      </c>
      <c r="C60" s="615"/>
      <c r="D60" s="92">
        <f>'Prognoza długu'!C10</f>
        <v>45737732</v>
      </c>
      <c r="E60" s="93">
        <f>'Prognoza długu'!D10</f>
        <v>47797647</v>
      </c>
      <c r="F60" s="425">
        <f>'Prognoza długu'!E10</f>
        <v>56846062</v>
      </c>
      <c r="G60" s="441">
        <f>'Prognoza długu'!F10</f>
        <v>56811022</v>
      </c>
      <c r="H60" s="431">
        <f>'Prognoza długu'!G10</f>
        <v>49544123</v>
      </c>
      <c r="I60" s="93">
        <f>'Prognoza długu'!H10</f>
        <v>42437670</v>
      </c>
      <c r="J60" s="93">
        <f>'Prognoza długu'!I10</f>
        <v>36287670</v>
      </c>
      <c r="K60" s="92">
        <f>'Prognoza długu'!J10</f>
        <v>30037670</v>
      </c>
      <c r="L60" s="92">
        <f>'Prognoza długu'!K10</f>
        <v>23236500</v>
      </c>
      <c r="M60" s="92">
        <f>'Prognoza długu'!L10</f>
        <v>18174472</v>
      </c>
      <c r="N60" s="92">
        <f>'Prognoza długu'!M10</f>
        <v>10823949</v>
      </c>
      <c r="O60" s="92">
        <f>'Prognoza długu'!N10</f>
        <v>4523949</v>
      </c>
      <c r="P60" s="92">
        <f>'Prognoza długu'!O10</f>
        <v>0</v>
      </c>
      <c r="Q60" s="475"/>
    </row>
    <row r="61" spans="1:17" ht="65.25" customHeight="1">
      <c r="A61" s="597"/>
      <c r="B61" s="598" t="s">
        <v>71</v>
      </c>
      <c r="C61" s="418" t="s">
        <v>102</v>
      </c>
      <c r="D61" s="91">
        <v>0</v>
      </c>
      <c r="E61" s="88">
        <v>0</v>
      </c>
      <c r="F61" s="422">
        <v>2100000</v>
      </c>
      <c r="G61" s="438">
        <v>2050000</v>
      </c>
      <c r="H61" s="432">
        <v>2000000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473"/>
    </row>
    <row r="62" spans="1:16" ht="87.75" customHeight="1">
      <c r="A62" s="597"/>
      <c r="B62" s="598"/>
      <c r="C62" s="418" t="s">
        <v>228</v>
      </c>
      <c r="D62" s="91">
        <v>0</v>
      </c>
      <c r="E62" s="88">
        <v>0</v>
      </c>
      <c r="F62" s="422"/>
      <c r="G62" s="438">
        <v>50000</v>
      </c>
      <c r="H62" s="432">
        <v>50000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</row>
    <row r="63" spans="1:16" ht="66" customHeight="1">
      <c r="A63" s="111">
        <v>14</v>
      </c>
      <c r="B63" s="590" t="s">
        <v>103</v>
      </c>
      <c r="C63" s="591"/>
      <c r="D63" s="91">
        <v>0</v>
      </c>
      <c r="E63" s="88">
        <v>0</v>
      </c>
      <c r="F63" s="422">
        <v>0</v>
      </c>
      <c r="G63" s="438">
        <v>0</v>
      </c>
      <c r="H63" s="432">
        <v>0</v>
      </c>
      <c r="I63" s="88">
        <v>0</v>
      </c>
      <c r="J63" s="88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</row>
    <row r="64" spans="1:16" ht="39" customHeight="1">
      <c r="A64" s="111">
        <v>15</v>
      </c>
      <c r="B64" s="590" t="s">
        <v>217</v>
      </c>
      <c r="C64" s="591"/>
      <c r="D64" s="112">
        <f>D28/D13*100</f>
        <v>5.510659630018439</v>
      </c>
      <c r="E64" s="227">
        <f>E28/E13*100</f>
        <v>10.653694792951553</v>
      </c>
      <c r="F64" s="227">
        <f>F28/F13*100</f>
        <v>6.023511077561799</v>
      </c>
      <c r="G64" s="467">
        <f>G28/G13*100</f>
        <v>5.2340061804257525</v>
      </c>
      <c r="H64" s="227">
        <f>H28/H13*100</f>
        <v>6.272609447607865</v>
      </c>
      <c r="I64" s="227"/>
      <c r="J64" s="227"/>
      <c r="K64" s="112"/>
      <c r="L64" s="112"/>
      <c r="M64" s="112"/>
      <c r="N64" s="112"/>
      <c r="O64" s="112"/>
      <c r="P64" s="112"/>
    </row>
    <row r="65" spans="1:16" ht="39" customHeight="1">
      <c r="A65" s="111">
        <v>16</v>
      </c>
      <c r="B65" s="590" t="s">
        <v>216</v>
      </c>
      <c r="C65" s="591"/>
      <c r="D65" s="112">
        <f>D60/D13*100</f>
        <v>55.98274647127499</v>
      </c>
      <c r="E65" s="227">
        <f>E60/E13*100</f>
        <v>56.16915056018266</v>
      </c>
      <c r="F65" s="426">
        <f>F60/F13*100</f>
        <v>49.7435679254916</v>
      </c>
      <c r="G65" s="442">
        <f>G60/G13*100</f>
        <v>32.205295639012036</v>
      </c>
      <c r="H65" s="433">
        <f>H60/H13*100</f>
        <v>29.77633504722128</v>
      </c>
      <c r="I65" s="227"/>
      <c r="J65" s="227"/>
      <c r="K65" s="112"/>
      <c r="L65" s="112"/>
      <c r="M65" s="112"/>
      <c r="N65" s="112"/>
      <c r="O65" s="112"/>
      <c r="P65" s="112"/>
    </row>
    <row r="66" spans="1:16" ht="66.75" customHeight="1">
      <c r="A66" s="113">
        <v>17</v>
      </c>
      <c r="B66" s="590" t="s">
        <v>104</v>
      </c>
      <c r="C66" s="591"/>
      <c r="D66" s="416" t="s">
        <v>70</v>
      </c>
      <c r="E66" s="228">
        <v>0.1911</v>
      </c>
      <c r="F66" s="427">
        <v>0.1292</v>
      </c>
      <c r="G66" s="443">
        <v>0.0951</v>
      </c>
      <c r="H66" s="434">
        <v>0.1615</v>
      </c>
      <c r="I66" s="228">
        <v>0.2366</v>
      </c>
      <c r="J66" s="228">
        <f>1/3*((G14+G16-'Prognoza długu'!F25)/WPF!G13+(WPF!H14+WPF!H16-'Prognoza długu'!G25)/WPF!H13+(WPF!I14+WPF!I16-'Prognoza długu'!H25)/WPF!I13)</f>
        <v>0.2910704666758649</v>
      </c>
      <c r="K66" s="416">
        <f>1/3*((H14+H16-'Prognoza długu'!G25)/WPF!H13+(WPF!I14+WPF!I16-'Prognoza długu'!H25)/WPF!I13+(WPF!J14+WPF!J16-'Prognoza długu'!I25)/WPF!J13)</f>
        <v>0.2826662755834561</v>
      </c>
      <c r="L66" s="416">
        <f>1/3*((I14+I16-'Prognoza długu'!H25)/WPF!I13+(WPF!J14+WPF!J16-'Prognoza długu'!I25)/WPF!J13+(WPF!K14+WPF!K16-'Prognoza długu'!J25)/WPF!K13)</f>
        <v>0.24840857540226038</v>
      </c>
      <c r="M66" s="416">
        <f>1/3*((J14+J16-'Prognoza długu'!I25)/WPF!J13+(WPF!K14+WPF!K16-'Prognoza długu'!J25)/WPF!K13+(WPF!L14+WPF!L16-'Prognoza długu'!K25)/WPF!L13)</f>
        <v>0.22703976634294476</v>
      </c>
      <c r="N66" s="416">
        <f>1/3*((K14+K16-'Prognoza długu'!J25)/WPF!K13+(WPF!L14+WPF!L16-'Prognoza długu'!K25)/WPF!L13+(WPF!M14+WPF!M16-'Prognoza długu'!L25)/WPF!M13)</f>
        <v>0.2048225586267341</v>
      </c>
      <c r="O66" s="416">
        <f>1/3*((L14+L16-'Prognoza długu'!K25)/WPF!L13+(WPF!M14+WPF!M16-'Prognoza długu'!L25)/WPF!M13+(WPF!N14+WPF!N16-'Prognoza długu'!M25)/WPF!N13)</f>
        <v>0.2171490773932484</v>
      </c>
      <c r="P66" s="416">
        <f>1/3*((M14+M16-'Prognoza długu'!L25)/WPF!M13+(WPF!N14+WPF!N16-'Prognoza długu'!M25)/WPF!N13+(WPF!O14+WPF!O16-'Prognoza długu'!N25)/WPF!O13)</f>
        <v>0.22294167223691674</v>
      </c>
    </row>
    <row r="67" spans="1:16" ht="33.75" customHeight="1">
      <c r="A67" s="113">
        <v>18</v>
      </c>
      <c r="B67" s="590" t="s">
        <v>105</v>
      </c>
      <c r="C67" s="591"/>
      <c r="D67" s="114">
        <f aca="true" t="shared" si="8" ref="D67:P67">D28/D13</f>
        <v>0.055106596300184385</v>
      </c>
      <c r="E67" s="228">
        <f t="shared" si="8"/>
        <v>0.10653694792951553</v>
      </c>
      <c r="F67" s="427">
        <f t="shared" si="8"/>
        <v>0.06023511077561799</v>
      </c>
      <c r="G67" s="443">
        <f t="shared" si="8"/>
        <v>0.05234006180425752</v>
      </c>
      <c r="H67" s="434">
        <f t="shared" si="8"/>
        <v>0.06272609447607864</v>
      </c>
      <c r="I67" s="228">
        <f t="shared" si="8"/>
        <v>0.08399830276615959</v>
      </c>
      <c r="J67" s="228">
        <f>J28/J13</f>
        <v>0.06660524659229146</v>
      </c>
      <c r="K67" s="114">
        <f t="shared" si="8"/>
        <v>0.06762204378541244</v>
      </c>
      <c r="L67" s="114">
        <f t="shared" si="8"/>
        <v>0.06750839351544803</v>
      </c>
      <c r="M67" s="114">
        <f t="shared" si="8"/>
        <v>0.04909188090104212</v>
      </c>
      <c r="N67" s="114">
        <f t="shared" si="8"/>
        <v>0.060479011713379424</v>
      </c>
      <c r="O67" s="114">
        <f t="shared" si="8"/>
        <v>0.04811166930487907</v>
      </c>
      <c r="P67" s="114">
        <f t="shared" si="8"/>
        <v>0.03217987218700601</v>
      </c>
    </row>
    <row r="68" spans="1:16" ht="38.25" customHeight="1">
      <c r="A68" s="113">
        <v>19</v>
      </c>
      <c r="B68" s="590" t="s">
        <v>106</v>
      </c>
      <c r="C68" s="591"/>
      <c r="D68" s="416" t="s">
        <v>70</v>
      </c>
      <c r="E68" s="228">
        <f>E66-E67</f>
        <v>0.08456305207048447</v>
      </c>
      <c r="F68" s="427">
        <f aca="true" t="shared" si="9" ref="F68:P68">F66-F67</f>
        <v>0.06896488922438201</v>
      </c>
      <c r="G68" s="443">
        <f t="shared" si="9"/>
        <v>0.04275993819574248</v>
      </c>
      <c r="H68" s="434">
        <f t="shared" si="9"/>
        <v>0.09877390552392136</v>
      </c>
      <c r="I68" s="228">
        <f t="shared" si="9"/>
        <v>0.15260169723384043</v>
      </c>
      <c r="J68" s="228">
        <f t="shared" si="9"/>
        <v>0.22446522008357345</v>
      </c>
      <c r="K68" s="228">
        <f t="shared" si="9"/>
        <v>0.21504423179804366</v>
      </c>
      <c r="L68" s="228">
        <f t="shared" si="9"/>
        <v>0.18090018188681234</v>
      </c>
      <c r="M68" s="228">
        <f t="shared" si="9"/>
        <v>0.17794788544190265</v>
      </c>
      <c r="N68" s="228">
        <f t="shared" si="9"/>
        <v>0.14434354691335466</v>
      </c>
      <c r="O68" s="228">
        <f t="shared" si="9"/>
        <v>0.16903740808836934</v>
      </c>
      <c r="P68" s="228">
        <f t="shared" si="9"/>
        <v>0.19076180004991072</v>
      </c>
    </row>
    <row r="69" spans="1:16" ht="16.5" customHeight="1">
      <c r="A69" s="113">
        <v>20</v>
      </c>
      <c r="B69" s="590" t="s">
        <v>107</v>
      </c>
      <c r="C69" s="591"/>
      <c r="D69" s="92">
        <f>'Prognoza długu'!C24</f>
        <v>105850665</v>
      </c>
      <c r="E69" s="92">
        <f>'Prognoza długu'!D24</f>
        <v>87934218</v>
      </c>
      <c r="F69" s="425">
        <f>'Prognoza długu'!E24</f>
        <v>123753708</v>
      </c>
      <c r="G69" s="441">
        <f>'Prognoza długu'!F24</f>
        <v>180372372</v>
      </c>
      <c r="H69" s="435">
        <f>'Prognoza długu'!G24</f>
        <v>159120680</v>
      </c>
      <c r="I69" s="92">
        <f>'Prognoza długu'!H24</f>
        <v>110275133</v>
      </c>
      <c r="J69" s="92">
        <f>'Prognoza długu'!I24</f>
        <v>123284338</v>
      </c>
      <c r="K69" s="92">
        <f>'Prognoza długu'!J24</f>
        <v>118598430</v>
      </c>
      <c r="L69" s="92">
        <f>'Prognoza długu'!K24</f>
        <v>122277046</v>
      </c>
      <c r="M69" s="92">
        <f>'Prognoza długu'!L24</f>
        <v>129468553.26</v>
      </c>
      <c r="N69" s="92">
        <f>'Prognoza długu'!M24</f>
        <v>132308232.54</v>
      </c>
      <c r="O69" s="92">
        <f>'Prognoza długu'!N24</f>
        <v>137247325.43</v>
      </c>
      <c r="P69" s="92">
        <f>'Prognoza długu'!O24</f>
        <v>142134692.3225</v>
      </c>
    </row>
    <row r="70" spans="1:16" ht="16.5" customHeight="1">
      <c r="A70" s="113">
        <v>21</v>
      </c>
      <c r="B70" s="590" t="s">
        <v>108</v>
      </c>
      <c r="C70" s="591"/>
      <c r="D70" s="92">
        <f>'Prognoza długu'!C25</f>
        <v>72590083</v>
      </c>
      <c r="E70" s="92">
        <f>'Prognoza długu'!D25</f>
        <v>78155472</v>
      </c>
      <c r="F70" s="425">
        <f>'Prognoza długu'!E25</f>
        <v>90332223</v>
      </c>
      <c r="G70" s="441">
        <f>'Prognoza długu'!F25</f>
        <v>104514819</v>
      </c>
      <c r="H70" s="435">
        <f>'Prognoza długu'!G25</f>
        <v>85190174</v>
      </c>
      <c r="I70" s="92">
        <f>'Prognoza długu'!H25</f>
        <v>85484133</v>
      </c>
      <c r="J70" s="92">
        <f>'Prognoza długu'!I25</f>
        <v>84808338</v>
      </c>
      <c r="K70" s="92">
        <f>'Prognoza długu'!J25</f>
        <v>100098430</v>
      </c>
      <c r="L70" s="92">
        <f>'Prognoza długu'!K25</f>
        <v>102277046</v>
      </c>
      <c r="M70" s="92">
        <f>'Prognoza długu'!L25</f>
        <v>106468553.26</v>
      </c>
      <c r="N70" s="92">
        <f>'Prognoza długu'!M25</f>
        <v>106808232.54</v>
      </c>
      <c r="O70" s="92">
        <f>'Prognoza długu'!N25</f>
        <v>111247325.43</v>
      </c>
      <c r="P70" s="92">
        <f>'Prognoza długu'!O25</f>
        <v>114134692.3225</v>
      </c>
    </row>
    <row r="71" spans="1:16" ht="35.25" customHeight="1">
      <c r="A71" s="113">
        <v>22</v>
      </c>
      <c r="B71" s="590" t="s">
        <v>137</v>
      </c>
      <c r="C71" s="591"/>
      <c r="D71" s="92">
        <f aca="true" t="shared" si="10" ref="D71:P71">D13-D69</f>
        <v>-24150972</v>
      </c>
      <c r="E71" s="92">
        <f t="shared" si="10"/>
        <v>-2838313</v>
      </c>
      <c r="F71" s="425">
        <f t="shared" si="10"/>
        <v>-9475492</v>
      </c>
      <c r="G71" s="441">
        <f t="shared" si="10"/>
        <v>-3969638</v>
      </c>
      <c r="H71" s="435">
        <f t="shared" si="10"/>
        <v>7266899</v>
      </c>
      <c r="I71" s="92">
        <f t="shared" si="10"/>
        <v>7106453</v>
      </c>
      <c r="J71" s="92">
        <f t="shared" si="10"/>
        <v>6150000</v>
      </c>
      <c r="K71" s="92">
        <f t="shared" si="10"/>
        <v>6250000</v>
      </c>
      <c r="L71" s="92">
        <f t="shared" si="10"/>
        <v>6801170</v>
      </c>
      <c r="M71" s="92">
        <f t="shared" si="10"/>
        <v>5062027.739999995</v>
      </c>
      <c r="N71" s="92">
        <f t="shared" si="10"/>
        <v>7350523.459999993</v>
      </c>
      <c r="O71" s="92">
        <f t="shared" si="10"/>
        <v>6299999.569999993</v>
      </c>
      <c r="P71" s="92">
        <f t="shared" si="10"/>
        <v>4523948.67750001</v>
      </c>
    </row>
    <row r="72" spans="1:16" ht="17.25" customHeight="1">
      <c r="A72" s="111">
        <v>23</v>
      </c>
      <c r="B72" s="580" t="s">
        <v>209</v>
      </c>
      <c r="C72" s="588"/>
      <c r="D72" s="91">
        <f>SUM(D73:D77)</f>
        <v>24150972</v>
      </c>
      <c r="E72" s="91">
        <f>SUM(E73:E77)</f>
        <v>2838313</v>
      </c>
      <c r="F72" s="422">
        <f>SUM(F73:F77)</f>
        <v>9475492</v>
      </c>
      <c r="G72" s="438">
        <f>SUM(G73:G77)</f>
        <v>3969638</v>
      </c>
      <c r="H72" s="435"/>
      <c r="I72" s="92"/>
      <c r="J72" s="92"/>
      <c r="K72" s="92"/>
      <c r="L72" s="92"/>
      <c r="M72" s="92"/>
      <c r="N72" s="92"/>
      <c r="O72" s="92"/>
      <c r="P72" s="92"/>
    </row>
    <row r="73" spans="1:16" ht="15" customHeight="1">
      <c r="A73" s="115" t="s">
        <v>66</v>
      </c>
      <c r="B73" s="608" t="s">
        <v>89</v>
      </c>
      <c r="C73" s="588"/>
      <c r="D73" s="85">
        <v>6330000</v>
      </c>
      <c r="E73" s="85"/>
      <c r="F73" s="423">
        <v>2100000</v>
      </c>
      <c r="G73" s="441"/>
      <c r="H73" s="435"/>
      <c r="I73" s="92"/>
      <c r="J73" s="92"/>
      <c r="K73" s="92"/>
      <c r="L73" s="92"/>
      <c r="M73" s="92"/>
      <c r="N73" s="92"/>
      <c r="O73" s="92"/>
      <c r="P73" s="92"/>
    </row>
    <row r="74" spans="1:16" ht="15" customHeight="1">
      <c r="A74" s="115" t="s">
        <v>68</v>
      </c>
      <c r="B74" s="608" t="s">
        <v>90</v>
      </c>
      <c r="C74" s="588"/>
      <c r="D74" s="85">
        <v>4810000</v>
      </c>
      <c r="E74" s="85"/>
      <c r="F74" s="423"/>
      <c r="G74" s="441"/>
      <c r="H74" s="435"/>
      <c r="I74" s="92"/>
      <c r="J74" s="92"/>
      <c r="K74" s="92"/>
      <c r="L74" s="92"/>
      <c r="M74" s="92"/>
      <c r="N74" s="92"/>
      <c r="O74" s="92"/>
      <c r="P74" s="92"/>
    </row>
    <row r="75" spans="1:16" ht="15" customHeight="1">
      <c r="A75" s="115" t="s">
        <v>76</v>
      </c>
      <c r="B75" s="608" t="s">
        <v>207</v>
      </c>
      <c r="C75" s="588"/>
      <c r="D75" s="85"/>
      <c r="E75" s="85"/>
      <c r="F75" s="423"/>
      <c r="G75" s="441"/>
      <c r="H75" s="435"/>
      <c r="I75" s="92"/>
      <c r="J75" s="92"/>
      <c r="K75" s="92"/>
      <c r="L75" s="92"/>
      <c r="M75" s="92"/>
      <c r="N75" s="92"/>
      <c r="O75" s="92"/>
      <c r="P75" s="92"/>
    </row>
    <row r="76" spans="1:16" ht="48.75" customHeight="1">
      <c r="A76" s="115" t="s">
        <v>79</v>
      </c>
      <c r="B76" s="595" t="s">
        <v>98</v>
      </c>
      <c r="C76" s="588"/>
      <c r="D76" s="85"/>
      <c r="E76" s="85"/>
      <c r="F76" s="423">
        <v>375492</v>
      </c>
      <c r="G76" s="441">
        <v>3969638</v>
      </c>
      <c r="H76" s="435"/>
      <c r="I76" s="92"/>
      <c r="J76" s="92"/>
      <c r="K76" s="92"/>
      <c r="L76" s="92"/>
      <c r="M76" s="92"/>
      <c r="N76" s="92"/>
      <c r="O76" s="92"/>
      <c r="P76" s="92"/>
    </row>
    <row r="77" spans="1:17" ht="15" customHeight="1">
      <c r="A77" s="115" t="s">
        <v>139</v>
      </c>
      <c r="B77" s="609" t="s">
        <v>212</v>
      </c>
      <c r="C77" s="610"/>
      <c r="D77" s="85">
        <v>13010972</v>
      </c>
      <c r="E77" s="85">
        <v>2838313</v>
      </c>
      <c r="F77" s="423">
        <v>7000000</v>
      </c>
      <c r="G77" s="441"/>
      <c r="H77" s="435"/>
      <c r="I77" s="92"/>
      <c r="J77" s="92"/>
      <c r="K77" s="92"/>
      <c r="L77" s="92"/>
      <c r="M77" s="92"/>
      <c r="N77" s="92"/>
      <c r="O77" s="92"/>
      <c r="P77" s="92"/>
      <c r="Q77" s="36"/>
    </row>
    <row r="78" spans="1:17" ht="17.25" customHeight="1">
      <c r="A78" s="111">
        <v>24</v>
      </c>
      <c r="B78" s="580" t="s">
        <v>210</v>
      </c>
      <c r="C78" s="588"/>
      <c r="D78" s="91"/>
      <c r="E78" s="91"/>
      <c r="F78" s="422"/>
      <c r="G78" s="441"/>
      <c r="H78" s="435">
        <f aca="true" t="shared" si="11" ref="H78:P78">SUM(H79:H81)</f>
        <v>7266899</v>
      </c>
      <c r="I78" s="92">
        <f t="shared" si="11"/>
        <v>7106453</v>
      </c>
      <c r="J78" s="92">
        <f t="shared" si="11"/>
        <v>6150000</v>
      </c>
      <c r="K78" s="92">
        <f t="shared" si="11"/>
        <v>6250000</v>
      </c>
      <c r="L78" s="92">
        <f t="shared" si="11"/>
        <v>6801170</v>
      </c>
      <c r="M78" s="92">
        <f t="shared" si="11"/>
        <v>5062028</v>
      </c>
      <c r="N78" s="92">
        <f t="shared" si="11"/>
        <v>7350523</v>
      </c>
      <c r="O78" s="92">
        <f t="shared" si="11"/>
        <v>6300000</v>
      </c>
      <c r="P78" s="92">
        <f t="shared" si="11"/>
        <v>4523949</v>
      </c>
      <c r="Q78" s="415"/>
    </row>
    <row r="79" spans="1:17" ht="15" customHeight="1">
      <c r="A79" s="116" t="s">
        <v>66</v>
      </c>
      <c r="B79" s="608" t="s">
        <v>206</v>
      </c>
      <c r="C79" s="588"/>
      <c r="D79" s="86"/>
      <c r="E79" s="117"/>
      <c r="F79" s="423"/>
      <c r="G79" s="444"/>
      <c r="H79" s="436">
        <f>H30</f>
        <v>3666899</v>
      </c>
      <c r="I79" s="84">
        <f aca="true" t="shared" si="12" ref="I79:P79">I30</f>
        <v>3506453</v>
      </c>
      <c r="J79" s="84">
        <f t="shared" si="12"/>
        <v>2550000</v>
      </c>
      <c r="K79" s="84">
        <f t="shared" si="12"/>
        <v>2550000</v>
      </c>
      <c r="L79" s="84">
        <f t="shared" si="12"/>
        <v>2401170</v>
      </c>
      <c r="M79" s="84">
        <f t="shared" si="12"/>
        <v>62028</v>
      </c>
      <c r="N79" s="84">
        <f t="shared" si="12"/>
        <v>750523</v>
      </c>
      <c r="O79" s="84">
        <f t="shared" si="12"/>
        <v>600000</v>
      </c>
      <c r="P79" s="84">
        <f t="shared" si="12"/>
        <v>423949</v>
      </c>
      <c r="Q79" s="36"/>
    </row>
    <row r="80" spans="1:16" ht="15" customHeight="1">
      <c r="A80" s="116" t="s">
        <v>68</v>
      </c>
      <c r="B80" s="608" t="s">
        <v>211</v>
      </c>
      <c r="C80" s="588"/>
      <c r="D80" s="86"/>
      <c r="E80" s="117"/>
      <c r="F80" s="423"/>
      <c r="G80" s="444"/>
      <c r="H80" s="436">
        <f>H31</f>
        <v>600000</v>
      </c>
      <c r="I80" s="84">
        <f aca="true" t="shared" si="13" ref="I80:P80">I31</f>
        <v>600000</v>
      </c>
      <c r="J80" s="84">
        <f t="shared" si="13"/>
        <v>600000</v>
      </c>
      <c r="K80" s="84">
        <f t="shared" si="13"/>
        <v>700000</v>
      </c>
      <c r="L80" s="84">
        <f t="shared" si="13"/>
        <v>1400000</v>
      </c>
      <c r="M80" s="84">
        <f t="shared" si="13"/>
        <v>0</v>
      </c>
      <c r="N80" s="84">
        <f t="shared" si="13"/>
        <v>0</v>
      </c>
      <c r="O80" s="84">
        <f t="shared" si="13"/>
        <v>0</v>
      </c>
      <c r="P80" s="84">
        <f t="shared" si="13"/>
        <v>0</v>
      </c>
    </row>
    <row r="81" spans="1:16" ht="15" customHeight="1">
      <c r="A81" s="116" t="s">
        <v>76</v>
      </c>
      <c r="B81" s="608" t="s">
        <v>91</v>
      </c>
      <c r="C81" s="588"/>
      <c r="D81" s="86"/>
      <c r="E81" s="117"/>
      <c r="F81" s="423"/>
      <c r="G81" s="444"/>
      <c r="H81" s="436">
        <f>H32</f>
        <v>3000000</v>
      </c>
      <c r="I81" s="84">
        <f aca="true" t="shared" si="14" ref="I81:P81">I32</f>
        <v>3000000</v>
      </c>
      <c r="J81" s="84">
        <f t="shared" si="14"/>
        <v>3000000</v>
      </c>
      <c r="K81" s="84">
        <f t="shared" si="14"/>
        <v>3000000</v>
      </c>
      <c r="L81" s="84">
        <f t="shared" si="14"/>
        <v>3000000</v>
      </c>
      <c r="M81" s="84">
        <f t="shared" si="14"/>
        <v>5000000</v>
      </c>
      <c r="N81" s="84">
        <f t="shared" si="14"/>
        <v>6600000</v>
      </c>
      <c r="O81" s="84">
        <f t="shared" si="14"/>
        <v>5700000</v>
      </c>
      <c r="P81" s="84">
        <f t="shared" si="14"/>
        <v>4100000</v>
      </c>
    </row>
    <row r="82" spans="1:16" ht="19.5" customHeight="1">
      <c r="A82" s="113">
        <v>25</v>
      </c>
      <c r="B82" s="590" t="s">
        <v>109</v>
      </c>
      <c r="C82" s="591"/>
      <c r="D82" s="92">
        <f>'Prognoza długu'!C46</f>
        <v>28859761</v>
      </c>
      <c r="E82" s="92">
        <f>'Prognoza długu'!D46</f>
        <v>10245475</v>
      </c>
      <c r="F82" s="425">
        <f>'Prognoza długu'!E46</f>
        <v>14027077</v>
      </c>
      <c r="G82" s="441">
        <f>G52+G57</f>
        <v>10904678</v>
      </c>
      <c r="H82" s="435">
        <f aca="true" t="shared" si="15" ref="H82:P82">H52</f>
        <v>0</v>
      </c>
      <c r="I82" s="92">
        <f t="shared" si="15"/>
        <v>0</v>
      </c>
      <c r="J82" s="92">
        <f t="shared" si="15"/>
        <v>0</v>
      </c>
      <c r="K82" s="92">
        <f t="shared" si="15"/>
        <v>0</v>
      </c>
      <c r="L82" s="92">
        <f t="shared" si="15"/>
        <v>0</v>
      </c>
      <c r="M82" s="92">
        <f t="shared" si="15"/>
        <v>0</v>
      </c>
      <c r="N82" s="92">
        <f t="shared" si="15"/>
        <v>0</v>
      </c>
      <c r="O82" s="92">
        <f t="shared" si="15"/>
        <v>0</v>
      </c>
      <c r="P82" s="92">
        <f t="shared" si="15"/>
        <v>0</v>
      </c>
    </row>
    <row r="83" spans="1:16" ht="19.5" customHeight="1" thickBot="1">
      <c r="A83" s="118">
        <v>26</v>
      </c>
      <c r="B83" s="606" t="s">
        <v>110</v>
      </c>
      <c r="C83" s="607"/>
      <c r="D83" s="119">
        <f aca="true" t="shared" si="16" ref="D83:P83">D29</f>
        <v>3463314</v>
      </c>
      <c r="E83" s="231">
        <f t="shared" si="16"/>
        <v>6940085</v>
      </c>
      <c r="F83" s="428">
        <f t="shared" si="16"/>
        <v>4551585</v>
      </c>
      <c r="G83" s="445">
        <f t="shared" si="16"/>
        <v>6935040</v>
      </c>
      <c r="H83" s="437">
        <f t="shared" si="16"/>
        <v>7266899</v>
      </c>
      <c r="I83" s="119">
        <f t="shared" si="16"/>
        <v>7106453</v>
      </c>
      <c r="J83" s="119">
        <f t="shared" si="16"/>
        <v>6150000</v>
      </c>
      <c r="K83" s="119">
        <f t="shared" si="16"/>
        <v>6250000</v>
      </c>
      <c r="L83" s="119">
        <f t="shared" si="16"/>
        <v>6801170</v>
      </c>
      <c r="M83" s="119">
        <f t="shared" si="16"/>
        <v>5062028</v>
      </c>
      <c r="N83" s="119">
        <f t="shared" si="16"/>
        <v>7350523</v>
      </c>
      <c r="O83" s="119">
        <f t="shared" si="16"/>
        <v>6300000</v>
      </c>
      <c r="P83" s="119">
        <f t="shared" si="16"/>
        <v>4523949</v>
      </c>
    </row>
    <row r="84" spans="1:16" ht="15.75">
      <c r="A84" s="120"/>
      <c r="B84" s="121"/>
      <c r="C84" s="122"/>
      <c r="D84" s="124"/>
      <c r="E84" s="123"/>
      <c r="F84" s="124"/>
      <c r="G84" s="124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1:16" ht="12.75">
      <c r="A85" s="81"/>
      <c r="B85" s="81"/>
      <c r="C85" s="78"/>
      <c r="D85" s="80"/>
      <c r="E85" s="79"/>
      <c r="F85" s="80"/>
      <c r="G85" s="80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2.75">
      <c r="A86" s="81"/>
      <c r="B86" s="81"/>
      <c r="C86" s="78"/>
      <c r="D86" s="80"/>
      <c r="E86" s="79"/>
      <c r="F86" s="80"/>
      <c r="G86" s="80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2.75">
      <c r="A87" s="81"/>
      <c r="B87" s="81"/>
      <c r="C87" s="78"/>
      <c r="D87" s="80"/>
      <c r="E87" s="79"/>
      <c r="F87" s="80"/>
      <c r="G87" s="80"/>
      <c r="H87" s="81"/>
      <c r="I87" s="81"/>
      <c r="J87" s="81"/>
      <c r="K87" s="81"/>
      <c r="L87" s="81"/>
      <c r="M87" s="81"/>
      <c r="N87" s="81"/>
      <c r="O87" s="81"/>
      <c r="P87" s="81"/>
    </row>
    <row r="88" spans="4:7" ht="12.75">
      <c r="D88" s="14"/>
      <c r="E88" s="34"/>
      <c r="F88" s="14"/>
      <c r="G88" s="14"/>
    </row>
  </sheetData>
  <sheetProtection/>
  <mergeCells count="82">
    <mergeCell ref="A9:A12"/>
    <mergeCell ref="E11:E12"/>
    <mergeCell ref="F11:F12"/>
    <mergeCell ref="D11:D12"/>
    <mergeCell ref="H11:H12"/>
    <mergeCell ref="G11:G12"/>
    <mergeCell ref="G10:P10"/>
    <mergeCell ref="N11:N12"/>
    <mergeCell ref="M11:M12"/>
    <mergeCell ref="B35:C35"/>
    <mergeCell ref="D9:P9"/>
    <mergeCell ref="I11:I12"/>
    <mergeCell ref="P11:P12"/>
    <mergeCell ref="O11:O12"/>
    <mergeCell ref="K11:K12"/>
    <mergeCell ref="J11:J12"/>
    <mergeCell ref="B30:B32"/>
    <mergeCell ref="B33:C33"/>
    <mergeCell ref="B15:C15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B57:C57"/>
    <mergeCell ref="B60:C60"/>
    <mergeCell ref="B29:C29"/>
    <mergeCell ref="B80:C80"/>
    <mergeCell ref="B81:C81"/>
    <mergeCell ref="B78:C78"/>
    <mergeCell ref="B82:C82"/>
    <mergeCell ref="P50:P51"/>
    <mergeCell ref="N50:N51"/>
    <mergeCell ref="O50:O51"/>
    <mergeCell ref="H50:H51"/>
    <mergeCell ref="B71:C71"/>
    <mergeCell ref="B63:C63"/>
    <mergeCell ref="D50:D51"/>
    <mergeCell ref="B48:C51"/>
    <mergeCell ref="J50:J51"/>
    <mergeCell ref="B83:C83"/>
    <mergeCell ref="B68:C68"/>
    <mergeCell ref="B74:C74"/>
    <mergeCell ref="B75:C75"/>
    <mergeCell ref="B76:C76"/>
    <mergeCell ref="B77:C77"/>
    <mergeCell ref="B79:C79"/>
    <mergeCell ref="B53:B56"/>
    <mergeCell ref="B58:C58"/>
    <mergeCell ref="I50:I51"/>
    <mergeCell ref="A61:A62"/>
    <mergeCell ref="B61:B62"/>
    <mergeCell ref="B52:C52"/>
    <mergeCell ref="B59:C59"/>
    <mergeCell ref="A48:A51"/>
    <mergeCell ref="D48:P48"/>
    <mergeCell ref="L50:L51"/>
    <mergeCell ref="G49:P49"/>
    <mergeCell ref="D49:F49"/>
    <mergeCell ref="B72:C72"/>
    <mergeCell ref="M50:M51"/>
    <mergeCell ref="K50:K51"/>
    <mergeCell ref="G50:G51"/>
    <mergeCell ref="B70:C70"/>
    <mergeCell ref="B66:C66"/>
    <mergeCell ref="B67:C67"/>
    <mergeCell ref="B64:C64"/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="90" zoomScaleNormal="90" zoomScalePageLayoutView="0" workbookViewId="0" topLeftCell="E34">
      <selection activeCell="A1" sqref="A1:O58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5" width="12.28125" style="0" customWidth="1"/>
  </cols>
  <sheetData>
    <row r="1" spans="1:15" ht="17.2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59" t="s">
        <v>111</v>
      </c>
      <c r="L1" s="59"/>
      <c r="M1" s="128"/>
      <c r="N1" s="128"/>
      <c r="O1" s="128"/>
    </row>
    <row r="2" spans="1:15" ht="2.2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64"/>
      <c r="L2" s="65"/>
      <c r="M2" s="128"/>
      <c r="N2" s="128"/>
      <c r="O2" s="128"/>
    </row>
    <row r="3" spans="1:15" ht="17.2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69" t="s">
        <v>408</v>
      </c>
      <c r="L3" s="65"/>
      <c r="M3" s="128"/>
      <c r="N3" s="128"/>
      <c r="O3" s="128"/>
    </row>
    <row r="4" spans="1:15" ht="17.2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69" t="s">
        <v>49</v>
      </c>
      <c r="L4" s="65"/>
      <c r="M4" s="128"/>
      <c r="N4" s="128"/>
      <c r="O4" s="128"/>
    </row>
    <row r="5" spans="1:15" ht="17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69" t="s">
        <v>407</v>
      </c>
      <c r="L5" s="65"/>
      <c r="M5" s="128"/>
      <c r="N5" s="128"/>
      <c r="O5" s="128"/>
    </row>
    <row r="6" spans="1:15" ht="39.75" customHeight="1" thickBot="1">
      <c r="A6" s="641" t="s">
        <v>300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</row>
    <row r="7" spans="1:15" ht="17.25" customHeight="1" thickBot="1">
      <c r="A7" s="637" t="s">
        <v>112</v>
      </c>
      <c r="B7" s="639" t="s">
        <v>62</v>
      </c>
      <c r="C7" s="605" t="s">
        <v>406</v>
      </c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</row>
    <row r="8" spans="1:15" ht="17.25" customHeight="1" thickBot="1">
      <c r="A8" s="637"/>
      <c r="B8" s="639"/>
      <c r="C8" s="605" t="s">
        <v>63</v>
      </c>
      <c r="D8" s="640"/>
      <c r="E8" s="636"/>
      <c r="F8" s="605" t="s">
        <v>64</v>
      </c>
      <c r="G8" s="636"/>
      <c r="H8" s="636"/>
      <c r="I8" s="636"/>
      <c r="J8" s="636"/>
      <c r="K8" s="636"/>
      <c r="L8" s="636"/>
      <c r="M8" s="636"/>
      <c r="N8" s="636"/>
      <c r="O8" s="636"/>
    </row>
    <row r="9" spans="1:15" ht="17.25" customHeight="1" thickBot="1">
      <c r="A9" s="637"/>
      <c r="B9" s="639"/>
      <c r="C9" s="552">
        <v>2009</v>
      </c>
      <c r="D9" s="553">
        <v>2010</v>
      </c>
      <c r="E9" s="552">
        <v>2011</v>
      </c>
      <c r="F9" s="555">
        <v>2012</v>
      </c>
      <c r="G9" s="552">
        <v>2013</v>
      </c>
      <c r="H9" s="552">
        <v>2014</v>
      </c>
      <c r="I9" s="552">
        <v>2015</v>
      </c>
      <c r="J9" s="552">
        <v>2016</v>
      </c>
      <c r="K9" s="552">
        <v>2017</v>
      </c>
      <c r="L9" s="552">
        <v>2018</v>
      </c>
      <c r="M9" s="552">
        <v>2019</v>
      </c>
      <c r="N9" s="552">
        <v>2020</v>
      </c>
      <c r="O9" s="552">
        <v>2021</v>
      </c>
    </row>
    <row r="10" spans="1:15" ht="20.25" customHeight="1">
      <c r="A10" s="129">
        <v>1</v>
      </c>
      <c r="B10" s="130" t="s">
        <v>113</v>
      </c>
      <c r="C10" s="131">
        <v>45737732</v>
      </c>
      <c r="D10" s="131">
        <f>C10+WPF!E52-WPF!E29</f>
        <v>47797647</v>
      </c>
      <c r="E10" s="402">
        <f>D10+WPF!F52-WPF!F29</f>
        <v>56846062</v>
      </c>
      <c r="F10" s="408">
        <f>E10+WPF!G52-WPF!G29</f>
        <v>56811022</v>
      </c>
      <c r="G10" s="131">
        <f>F10+WPF!H52-WPF!H29</f>
        <v>49544123</v>
      </c>
      <c r="H10" s="131">
        <f>G10+WPF!I52-WPF!I29</f>
        <v>42437670</v>
      </c>
      <c r="I10" s="131">
        <f>H10+WPF!J52-WPF!J29</f>
        <v>36287670</v>
      </c>
      <c r="J10" s="131">
        <f>I10+WPF!K52-WPF!K29</f>
        <v>30037670</v>
      </c>
      <c r="K10" s="131">
        <f>J10+WPF!L52-WPF!L29</f>
        <v>23236500</v>
      </c>
      <c r="L10" s="131">
        <f>K10+WPF!M52-WPF!M29</f>
        <v>18174472</v>
      </c>
      <c r="M10" s="131">
        <f>L10+WPF!N52-WPF!N29</f>
        <v>10823949</v>
      </c>
      <c r="N10" s="131">
        <f>M10+WPF!O52-WPF!O29</f>
        <v>4523949</v>
      </c>
      <c r="O10" s="131">
        <f>N10+WPF!P52-WPF!P29</f>
        <v>0</v>
      </c>
    </row>
    <row r="11" spans="1:15" ht="33.75" customHeight="1">
      <c r="A11" s="132" t="s">
        <v>66</v>
      </c>
      <c r="B11" s="53" t="s">
        <v>114</v>
      </c>
      <c r="C11" s="51">
        <v>0</v>
      </c>
      <c r="D11" s="51">
        <v>0</v>
      </c>
      <c r="E11" s="403">
        <v>2100000</v>
      </c>
      <c r="F11" s="409">
        <v>2050000</v>
      </c>
      <c r="G11" s="51">
        <v>2000000</v>
      </c>
      <c r="H11" s="51">
        <v>1950000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</row>
    <row r="12" spans="1:18" ht="42" customHeight="1">
      <c r="A12" s="132" t="s">
        <v>68</v>
      </c>
      <c r="B12" s="53" t="s">
        <v>229</v>
      </c>
      <c r="C12" s="51">
        <v>0</v>
      </c>
      <c r="D12" s="51">
        <v>0</v>
      </c>
      <c r="E12" s="403">
        <v>0</v>
      </c>
      <c r="F12" s="409">
        <v>50000</v>
      </c>
      <c r="G12" s="51">
        <v>50000</v>
      </c>
      <c r="H12" s="51">
        <v>50000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R12" s="35"/>
    </row>
    <row r="13" spans="1:15" ht="55.5" customHeight="1">
      <c r="A13" s="132" t="s">
        <v>115</v>
      </c>
      <c r="B13" s="53" t="s">
        <v>116</v>
      </c>
      <c r="C13" s="51">
        <v>0</v>
      </c>
      <c r="D13" s="51">
        <v>0</v>
      </c>
      <c r="E13" s="403">
        <v>0</v>
      </c>
      <c r="F13" s="409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</row>
    <row r="14" spans="1:15" ht="24" customHeight="1">
      <c r="A14" s="132" t="s">
        <v>117</v>
      </c>
      <c r="B14" s="53" t="s">
        <v>118</v>
      </c>
      <c r="C14" s="51">
        <f>WPF!D29</f>
        <v>3463314</v>
      </c>
      <c r="D14" s="51">
        <f>WPF!E29</f>
        <v>6940085</v>
      </c>
      <c r="E14" s="403">
        <f>WPF!F29</f>
        <v>4551585</v>
      </c>
      <c r="F14" s="409">
        <f>WPF!G29</f>
        <v>6935040</v>
      </c>
      <c r="G14" s="51">
        <f>WPF!H29</f>
        <v>7266899</v>
      </c>
      <c r="H14" s="51">
        <f>WPF!I29</f>
        <v>7106453</v>
      </c>
      <c r="I14" s="51">
        <f>WPF!J29</f>
        <v>6150000</v>
      </c>
      <c r="J14" s="51">
        <f>WPF!K29</f>
        <v>6250000</v>
      </c>
      <c r="K14" s="51">
        <f>WPF!L29</f>
        <v>6801170</v>
      </c>
      <c r="L14" s="51">
        <f>WPF!M29</f>
        <v>5062028</v>
      </c>
      <c r="M14" s="51">
        <f>WPF!N29</f>
        <v>7350523</v>
      </c>
      <c r="N14" s="51">
        <f>WPF!O29</f>
        <v>6300000</v>
      </c>
      <c r="O14" s="51">
        <f>WPF!P29</f>
        <v>4523949</v>
      </c>
    </row>
    <row r="15" spans="1:15" ht="24" customHeight="1">
      <c r="A15" s="133" t="s">
        <v>119</v>
      </c>
      <c r="B15" s="134" t="s">
        <v>120</v>
      </c>
      <c r="C15" s="135"/>
      <c r="D15" s="136">
        <v>0.1911</v>
      </c>
      <c r="E15" s="406">
        <v>0.1292</v>
      </c>
      <c r="F15" s="410">
        <v>0.0951</v>
      </c>
      <c r="G15" s="136">
        <v>0.1615</v>
      </c>
      <c r="H15" s="136">
        <v>0.2366</v>
      </c>
      <c r="I15" s="136">
        <f>1/3*((WPF!G14+WPF!G16-'Prognoza długu'!F25)/WPF!G13+(WPF!H14+WPF!H16-'Prognoza długu'!G25)/WPF!H13+(WPF!I14+WPF!I16-'Prognoza długu'!H25)/WPF!I13)</f>
        <v>0.2910704666758649</v>
      </c>
      <c r="J15" s="136">
        <f>1/3*((WPF!H14+WPF!H16-'Prognoza długu'!G25)/WPF!H13+(WPF!I14+WPF!I16-'Prognoza długu'!H25)/WPF!I13+(WPF!J14+WPF!J16-'Prognoza długu'!I25)/WPF!J13)</f>
        <v>0.2826662755834561</v>
      </c>
      <c r="K15" s="136">
        <f>1/3*((WPF!I14+WPF!I16-'Prognoza długu'!H25)/WPF!I13+(WPF!J14+WPF!J16-'Prognoza długu'!I25)/WPF!J13+(WPF!K14+WPF!K16-'Prognoza długu'!J25)/WPF!K13)</f>
        <v>0.24840857540226038</v>
      </c>
      <c r="L15" s="136">
        <f>1/3*((WPF!J14+WPF!J16-'Prognoza długu'!I25)/WPF!J13+(WPF!K14+WPF!K16-'Prognoza długu'!J25)/WPF!K13+(WPF!L14+WPF!L16-'Prognoza długu'!K25)/WPF!L13)</f>
        <v>0.22703976634294476</v>
      </c>
      <c r="M15" s="136">
        <f>1/3*((WPF!K14+WPF!K16-'Prognoza długu'!J25)/WPF!K13+(WPF!L14+WPF!L16-'Prognoza długu'!K25)/WPF!L13+(WPF!M14+WPF!M16-'Prognoza długu'!L25)/WPF!M13)</f>
        <v>0.2048225586267341</v>
      </c>
      <c r="N15" s="136">
        <f>1/3*((WPF!L14+WPF!L16-'Prognoza długu'!K25)/WPF!L13+(WPF!M14+WPF!M16-'Prognoza długu'!L25)/WPF!M13+(WPF!N14+WPF!N16-'Prognoza długu'!M25)/WPF!N13)</f>
        <v>0.2171490773932484</v>
      </c>
      <c r="O15" s="136">
        <f>1/3*((WPF!M14+WPF!M16-'Prognoza długu'!L25)/WPF!M13+(WPF!N14+WPF!N16-'Prognoza długu'!M25)/WPF!N13+(WPF!O14+WPF!O16-'Prognoza długu'!N25)/WPF!O13)</f>
        <v>0.22294167223691674</v>
      </c>
    </row>
    <row r="16" spans="1:15" ht="30.75" customHeight="1">
      <c r="A16" s="133" t="s">
        <v>121</v>
      </c>
      <c r="B16" s="134" t="s">
        <v>122</v>
      </c>
      <c r="C16" s="135" t="s">
        <v>81</v>
      </c>
      <c r="D16" s="136">
        <f>(WPF!E33+WPF!E29)/WPF!E13</f>
        <v>0.10653694792951553</v>
      </c>
      <c r="E16" s="406">
        <f>(WPF!F33+WPF!F29)/WPF!F13</f>
        <v>0.06023511077561799</v>
      </c>
      <c r="F16" s="410">
        <f>(WPF!G33+WPF!G29)/WPF!G13</f>
        <v>0.05234006180425752</v>
      </c>
      <c r="G16" s="136">
        <f>(WPF!H33+WPF!H29)/WPF!H13</f>
        <v>0.06272609447607864</v>
      </c>
      <c r="H16" s="136">
        <f>(WPF!I33+WPF!I29)/WPF!I13</f>
        <v>0.08399830276615959</v>
      </c>
      <c r="I16" s="136">
        <f>(WPF!J33+WPF!J29)/WPF!J13</f>
        <v>0.06660524659229146</v>
      </c>
      <c r="J16" s="136">
        <f>(WPF!K33+WPF!K29)/WPF!K13</f>
        <v>0.06762204378541244</v>
      </c>
      <c r="K16" s="136">
        <f>(WPF!L33+WPF!L29)/WPF!L13</f>
        <v>0.06750839351544803</v>
      </c>
      <c r="L16" s="136">
        <f>(WPF!M33+WPF!M29)/WPF!M13</f>
        <v>0.04909188090104212</v>
      </c>
      <c r="M16" s="136">
        <f>(WPF!N33+WPF!N29)/WPF!N13</f>
        <v>0.060479011713379424</v>
      </c>
      <c r="N16" s="136">
        <f>(WPF!O33+WPF!O29)/WPF!O13</f>
        <v>0.04811166930487907</v>
      </c>
      <c r="O16" s="136">
        <f>(WPF!P33+WPF!P29)/WPF!P13</f>
        <v>0.03217987218700601</v>
      </c>
    </row>
    <row r="17" spans="1:15" ht="35.25" customHeight="1">
      <c r="A17" s="133" t="s">
        <v>123</v>
      </c>
      <c r="B17" s="137" t="s">
        <v>124</v>
      </c>
      <c r="C17" s="135"/>
      <c r="D17" s="136">
        <f>D15-D16</f>
        <v>0.08456305207048447</v>
      </c>
      <c r="E17" s="406">
        <f aca="true" t="shared" si="0" ref="E17:N17">E15-E16</f>
        <v>0.06896488922438201</v>
      </c>
      <c r="F17" s="410">
        <f t="shared" si="0"/>
        <v>0.04275993819574248</v>
      </c>
      <c r="G17" s="136">
        <f t="shared" si="0"/>
        <v>0.09877390552392136</v>
      </c>
      <c r="H17" s="136">
        <f t="shared" si="0"/>
        <v>0.15260169723384043</v>
      </c>
      <c r="I17" s="136">
        <f t="shared" si="0"/>
        <v>0.22446522008357345</v>
      </c>
      <c r="J17" s="136">
        <f t="shared" si="0"/>
        <v>0.21504423179804366</v>
      </c>
      <c r="K17" s="136">
        <f t="shared" si="0"/>
        <v>0.18090018188681234</v>
      </c>
      <c r="L17" s="136">
        <f t="shared" si="0"/>
        <v>0.17794788544190265</v>
      </c>
      <c r="M17" s="136">
        <f t="shared" si="0"/>
        <v>0.14434354691335466</v>
      </c>
      <c r="N17" s="136">
        <f t="shared" si="0"/>
        <v>0.16903740808836934</v>
      </c>
      <c r="O17" s="136">
        <f>O15-O16</f>
        <v>0.19076180004991072</v>
      </c>
    </row>
    <row r="18" spans="1:15" ht="30" customHeight="1">
      <c r="A18" s="132" t="s">
        <v>125</v>
      </c>
      <c r="B18" s="53" t="s">
        <v>126</v>
      </c>
      <c r="C18" s="138">
        <f>WPF!D28/WPF!D13%</f>
        <v>5.510659630018438</v>
      </c>
      <c r="D18" s="138">
        <f>WPF!E28/WPF!E13%</f>
        <v>10.653694792951551</v>
      </c>
      <c r="E18" s="404">
        <f>WPF!F28/WPF!F13%</f>
        <v>6.0235110775618</v>
      </c>
      <c r="F18" s="411">
        <f>WPF!G28/WPF!G13%</f>
        <v>5.2340061804257525</v>
      </c>
      <c r="G18" s="138">
        <f>WPF!H28/WPF!H13%</f>
        <v>6.272609447607865</v>
      </c>
      <c r="H18" s="138"/>
      <c r="I18" s="138"/>
      <c r="J18" s="138"/>
      <c r="K18" s="138"/>
      <c r="L18" s="138"/>
      <c r="M18" s="138"/>
      <c r="N18" s="138"/>
      <c r="O18" s="138"/>
    </row>
    <row r="19" spans="1:15" ht="29.25" customHeight="1">
      <c r="A19" s="132" t="s">
        <v>127</v>
      </c>
      <c r="B19" s="53" t="s">
        <v>128</v>
      </c>
      <c r="C19" s="138">
        <f>C10/WPF!D13%</f>
        <v>55.982746471274986</v>
      </c>
      <c r="D19" s="138">
        <f>D10/WPF!E13%</f>
        <v>56.16915056018265</v>
      </c>
      <c r="E19" s="404">
        <f>E10/WPF!F13%</f>
        <v>49.7435679254916</v>
      </c>
      <c r="F19" s="411">
        <f>F10/WPF!G13%</f>
        <v>32.205295639012036</v>
      </c>
      <c r="G19" s="138">
        <f>G10/WPF!H13%</f>
        <v>29.776335047221284</v>
      </c>
      <c r="H19" s="138"/>
      <c r="I19" s="138"/>
      <c r="J19" s="138"/>
      <c r="K19" s="138"/>
      <c r="L19" s="138"/>
      <c r="M19" s="138"/>
      <c r="N19" s="138"/>
      <c r="O19" s="138"/>
    </row>
    <row r="20" spans="1:15" ht="17.25" customHeight="1">
      <c r="A20" s="74" t="s">
        <v>129</v>
      </c>
      <c r="B20" s="139" t="s">
        <v>130</v>
      </c>
      <c r="C20" s="54">
        <f aca="true" t="shared" si="1" ref="C20:N20">C21+C22</f>
        <v>81699693</v>
      </c>
      <c r="D20" s="54">
        <f t="shared" si="1"/>
        <v>85095905</v>
      </c>
      <c r="E20" s="405">
        <f t="shared" si="1"/>
        <v>114278216</v>
      </c>
      <c r="F20" s="412">
        <f t="shared" si="1"/>
        <v>176402734</v>
      </c>
      <c r="G20" s="54">
        <f t="shared" si="1"/>
        <v>166387579</v>
      </c>
      <c r="H20" s="54">
        <f t="shared" si="1"/>
        <v>117381586</v>
      </c>
      <c r="I20" s="54">
        <f t="shared" si="1"/>
        <v>129434338</v>
      </c>
      <c r="J20" s="140">
        <f t="shared" si="1"/>
        <v>124848430</v>
      </c>
      <c r="K20" s="54">
        <f t="shared" si="1"/>
        <v>129078216</v>
      </c>
      <c r="L20" s="54">
        <f t="shared" si="1"/>
        <v>134530581</v>
      </c>
      <c r="M20" s="54">
        <f t="shared" si="1"/>
        <v>139658756</v>
      </c>
      <c r="N20" s="54">
        <f t="shared" si="1"/>
        <v>143547325</v>
      </c>
      <c r="O20" s="54">
        <f>O21+O22</f>
        <v>146658641</v>
      </c>
    </row>
    <row r="21" spans="1:15" ht="16.5" customHeight="1">
      <c r="A21" s="132" t="s">
        <v>66</v>
      </c>
      <c r="B21" s="53" t="s">
        <v>131</v>
      </c>
      <c r="C21" s="51">
        <f>WPF!D14</f>
        <v>80665439</v>
      </c>
      <c r="D21" s="51">
        <f>WPF!E14</f>
        <v>84339995</v>
      </c>
      <c r="E21" s="403">
        <f>WPF!F14</f>
        <v>98522397</v>
      </c>
      <c r="F21" s="409">
        <f>WPF!G14</f>
        <v>105516146</v>
      </c>
      <c r="G21" s="51">
        <f>WPF!H14</f>
        <v>109125078</v>
      </c>
      <c r="H21" s="51">
        <f>WPF!I14</f>
        <v>117381586</v>
      </c>
      <c r="I21" s="51">
        <f>WPF!J14</f>
        <v>120434338</v>
      </c>
      <c r="J21" s="141">
        <f>WPF!K14</f>
        <v>124848430</v>
      </c>
      <c r="K21" s="51">
        <f>WPF!L14</f>
        <v>129078216</v>
      </c>
      <c r="L21" s="51">
        <f>WPF!M14</f>
        <v>134530581</v>
      </c>
      <c r="M21" s="51">
        <f>WPF!N14</f>
        <v>139658756</v>
      </c>
      <c r="N21" s="51">
        <f>WPF!O14</f>
        <v>143547325</v>
      </c>
      <c r="O21" s="51">
        <f>WPF!P14</f>
        <v>146658641</v>
      </c>
    </row>
    <row r="22" spans="1:15" ht="16.5" customHeight="1">
      <c r="A22" s="132" t="s">
        <v>68</v>
      </c>
      <c r="B22" s="53" t="s">
        <v>69</v>
      </c>
      <c r="C22" s="51">
        <f>WPF!D15</f>
        <v>1034254</v>
      </c>
      <c r="D22" s="51">
        <f>WPF!E15</f>
        <v>755910</v>
      </c>
      <c r="E22" s="403">
        <f>WPF!F15</f>
        <v>15755819</v>
      </c>
      <c r="F22" s="409">
        <f>WPF!G15</f>
        <v>70886588</v>
      </c>
      <c r="G22" s="51">
        <f>WPF!H15</f>
        <v>57262501</v>
      </c>
      <c r="H22" s="51">
        <f>WPF!I15</f>
        <v>0</v>
      </c>
      <c r="I22" s="51">
        <f>WPF!J15</f>
        <v>9000000</v>
      </c>
      <c r="J22" s="51">
        <f>WPF!K15</f>
        <v>0</v>
      </c>
      <c r="K22" s="51">
        <f>WPF!L15</f>
        <v>0</v>
      </c>
      <c r="L22" s="51">
        <f>WPF!M15</f>
        <v>0</v>
      </c>
      <c r="M22" s="51">
        <f>WPF!N15</f>
        <v>0</v>
      </c>
      <c r="N22" s="51">
        <f>WPF!O15</f>
        <v>0</v>
      </c>
      <c r="O22" s="51">
        <f>WPF!P15</f>
        <v>0</v>
      </c>
    </row>
    <row r="23" spans="1:15" ht="16.5" customHeight="1">
      <c r="A23" s="132" t="s">
        <v>70</v>
      </c>
      <c r="B23" s="53" t="s">
        <v>72</v>
      </c>
      <c r="C23" s="51">
        <f>WPF!D16</f>
        <v>197354</v>
      </c>
      <c r="D23" s="51">
        <f>WPF!E16</f>
        <v>255910</v>
      </c>
      <c r="E23" s="403">
        <f>WPF!F16</f>
        <v>13500000</v>
      </c>
      <c r="F23" s="409">
        <f>WPF!G16</f>
        <v>52000000</v>
      </c>
      <c r="G23" s="51">
        <f>WPF!H16</f>
        <v>26150000</v>
      </c>
      <c r="H23" s="51">
        <f>WPF!I16</f>
        <v>0</v>
      </c>
      <c r="I23" s="51">
        <f>WPF!J16</f>
        <v>0</v>
      </c>
      <c r="J23" s="51">
        <f>WPF!K16</f>
        <v>0</v>
      </c>
      <c r="K23" s="51">
        <f>WPF!L16</f>
        <v>0</v>
      </c>
      <c r="L23" s="51">
        <f>WPF!M16</f>
        <v>0</v>
      </c>
      <c r="M23" s="51">
        <f>WPF!N16</f>
        <v>0</v>
      </c>
      <c r="N23" s="51">
        <f>WPF!O16</f>
        <v>0</v>
      </c>
      <c r="O23" s="51">
        <f>WPF!P16</f>
        <v>0</v>
      </c>
    </row>
    <row r="24" spans="1:15" ht="16.5" customHeight="1">
      <c r="A24" s="74" t="s">
        <v>132</v>
      </c>
      <c r="B24" s="139" t="s">
        <v>133</v>
      </c>
      <c r="C24" s="54">
        <f>C25+C26</f>
        <v>105850665</v>
      </c>
      <c r="D24" s="54">
        <f>D25+D26</f>
        <v>87934218</v>
      </c>
      <c r="E24" s="405">
        <f>E25+E26</f>
        <v>123753708</v>
      </c>
      <c r="F24" s="412">
        <f>F25+F26</f>
        <v>180372372</v>
      </c>
      <c r="G24" s="54">
        <f>G25+G26</f>
        <v>159120680</v>
      </c>
      <c r="H24" s="54">
        <f aca="true" t="shared" si="2" ref="H24:O24">H25+H26</f>
        <v>110275133</v>
      </c>
      <c r="I24" s="54">
        <f t="shared" si="2"/>
        <v>123284338</v>
      </c>
      <c r="J24" s="54">
        <f t="shared" si="2"/>
        <v>118598430</v>
      </c>
      <c r="K24" s="54">
        <f t="shared" si="2"/>
        <v>122277046</v>
      </c>
      <c r="L24" s="54">
        <f t="shared" si="2"/>
        <v>129468553.26</v>
      </c>
      <c r="M24" s="54">
        <f t="shared" si="2"/>
        <v>132308232.54</v>
      </c>
      <c r="N24" s="54">
        <f t="shared" si="2"/>
        <v>137247325.43</v>
      </c>
      <c r="O24" s="54">
        <f t="shared" si="2"/>
        <v>142134692.3225</v>
      </c>
    </row>
    <row r="25" spans="1:15" ht="17.25" customHeight="1">
      <c r="A25" s="132" t="s">
        <v>66</v>
      </c>
      <c r="B25" s="53" t="s">
        <v>134</v>
      </c>
      <c r="C25" s="51">
        <f>WPF!D17+WPF!D33</f>
        <v>72590083</v>
      </c>
      <c r="D25" s="51">
        <f>WPF!E17+WPF!E33</f>
        <v>78155472</v>
      </c>
      <c r="E25" s="403">
        <f>WPF!F17+WPF!F33</f>
        <v>90332223</v>
      </c>
      <c r="F25" s="409">
        <f>WPF!G17+WPF!G33</f>
        <v>104514819</v>
      </c>
      <c r="G25" s="51">
        <f>WPF!H17+WPF!H33</f>
        <v>85190174</v>
      </c>
      <c r="H25" s="51">
        <f>WPF!I17+WPF!I33</f>
        <v>85484133</v>
      </c>
      <c r="I25" s="51">
        <f>WPF!J17+WPF!J33</f>
        <v>84808338</v>
      </c>
      <c r="J25" s="51">
        <f>WPF!K17+WPF!K33</f>
        <v>100098430</v>
      </c>
      <c r="K25" s="51">
        <f>WPF!L17+WPF!L33</f>
        <v>102277046</v>
      </c>
      <c r="L25" s="51">
        <f>WPF!M17+WPF!M33</f>
        <v>106468553.26</v>
      </c>
      <c r="M25" s="51">
        <f>WPF!N17+WPF!N33</f>
        <v>106808232.54</v>
      </c>
      <c r="N25" s="51">
        <f>WPF!O17+WPF!O33</f>
        <v>111247325.43</v>
      </c>
      <c r="O25" s="51">
        <f>WPF!P17+WPF!P33</f>
        <v>114134692.3225</v>
      </c>
    </row>
    <row r="26" spans="1:15" ht="17.25" customHeight="1">
      <c r="A26" s="132" t="s">
        <v>68</v>
      </c>
      <c r="B26" s="53" t="s">
        <v>135</v>
      </c>
      <c r="C26" s="51">
        <f>WPF!D36</f>
        <v>33260582</v>
      </c>
      <c r="D26" s="51">
        <f>WPF!E36</f>
        <v>9778746</v>
      </c>
      <c r="E26" s="403">
        <f>WPF!F36</f>
        <v>33421485</v>
      </c>
      <c r="F26" s="409">
        <f>WPF!G36</f>
        <v>75857553</v>
      </c>
      <c r="G26" s="51">
        <f>WPF!H36</f>
        <v>73930506</v>
      </c>
      <c r="H26" s="51">
        <f>WPF!I36</f>
        <v>24791000</v>
      </c>
      <c r="I26" s="51">
        <f>WPF!J36</f>
        <v>38476000</v>
      </c>
      <c r="J26" s="51">
        <f>WPF!K36</f>
        <v>18500000</v>
      </c>
      <c r="K26" s="51">
        <f>WPF!L36</f>
        <v>20000000</v>
      </c>
      <c r="L26" s="51">
        <f>WPF!M36</f>
        <v>23000000</v>
      </c>
      <c r="M26" s="51">
        <f>WPF!N36</f>
        <v>25500000</v>
      </c>
      <c r="N26" s="51">
        <f>WPF!O36</f>
        <v>26000000</v>
      </c>
      <c r="O26" s="51">
        <f>WPF!P36</f>
        <v>28000000</v>
      </c>
    </row>
    <row r="27" spans="1:15" ht="31.5" customHeight="1">
      <c r="A27" s="74" t="s">
        <v>136</v>
      </c>
      <c r="B27" s="139" t="s">
        <v>137</v>
      </c>
      <c r="C27" s="54">
        <f>C20-C24</f>
        <v>-24150972</v>
      </c>
      <c r="D27" s="54">
        <f>D20-D24</f>
        <v>-2838313</v>
      </c>
      <c r="E27" s="405">
        <f>E20-E24</f>
        <v>-9475492</v>
      </c>
      <c r="F27" s="412">
        <f>F20-F24</f>
        <v>-3969638</v>
      </c>
      <c r="G27" s="54">
        <f>G20-G24</f>
        <v>7266899</v>
      </c>
      <c r="H27" s="54">
        <f aca="true" t="shared" si="3" ref="H27:O27">H20-H24</f>
        <v>7106453</v>
      </c>
      <c r="I27" s="54">
        <f t="shared" si="3"/>
        <v>6150000</v>
      </c>
      <c r="J27" s="54">
        <f t="shared" si="3"/>
        <v>6250000</v>
      </c>
      <c r="K27" s="54">
        <f t="shared" si="3"/>
        <v>6801170</v>
      </c>
      <c r="L27" s="54">
        <f t="shared" si="3"/>
        <v>5062027.739999995</v>
      </c>
      <c r="M27" s="54">
        <f t="shared" si="3"/>
        <v>7350523.459999993</v>
      </c>
      <c r="N27" s="54">
        <f t="shared" si="3"/>
        <v>6299999.569999993</v>
      </c>
      <c r="O27" s="54">
        <f t="shared" si="3"/>
        <v>4523948.67750001</v>
      </c>
    </row>
    <row r="28" spans="1:15" ht="15.75" customHeight="1">
      <c r="A28" s="74" t="s">
        <v>138</v>
      </c>
      <c r="B28" s="139" t="s">
        <v>209</v>
      </c>
      <c r="C28" s="54">
        <f>SUM(C29:C33)</f>
        <v>24150972</v>
      </c>
      <c r="D28" s="54">
        <f>SUM(D29:D33)</f>
        <v>2838313</v>
      </c>
      <c r="E28" s="405">
        <f>SUM(E29:E33)</f>
        <v>9475492</v>
      </c>
      <c r="F28" s="412">
        <f>SUM(F29:F33)</f>
        <v>3969638</v>
      </c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5.75" customHeight="1">
      <c r="A29" s="75" t="s">
        <v>66</v>
      </c>
      <c r="B29" s="56" t="s">
        <v>89</v>
      </c>
      <c r="C29" s="51">
        <v>6330000</v>
      </c>
      <c r="D29" s="51"/>
      <c r="E29" s="403">
        <v>2100000</v>
      </c>
      <c r="F29" s="412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.75" customHeight="1">
      <c r="A30" s="75" t="s">
        <v>68</v>
      </c>
      <c r="B30" s="56" t="s">
        <v>90</v>
      </c>
      <c r="C30" s="51">
        <v>4810000</v>
      </c>
      <c r="D30" s="51"/>
      <c r="E30" s="403"/>
      <c r="F30" s="412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5.75" customHeight="1">
      <c r="A31" s="75" t="s">
        <v>76</v>
      </c>
      <c r="B31" s="56" t="s">
        <v>207</v>
      </c>
      <c r="C31" s="51"/>
      <c r="D31" s="51"/>
      <c r="E31" s="403"/>
      <c r="F31" s="412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57" customHeight="1">
      <c r="A32" s="75" t="s">
        <v>79</v>
      </c>
      <c r="B32" s="72" t="s">
        <v>98</v>
      </c>
      <c r="C32" s="51"/>
      <c r="D32" s="51"/>
      <c r="E32" s="403">
        <v>375492</v>
      </c>
      <c r="F32" s="412">
        <v>3969638</v>
      </c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5.75" customHeight="1">
      <c r="A33" s="75" t="s">
        <v>139</v>
      </c>
      <c r="B33" s="56" t="s">
        <v>97</v>
      </c>
      <c r="C33" s="51">
        <v>13010972</v>
      </c>
      <c r="D33" s="51">
        <v>2838313</v>
      </c>
      <c r="E33" s="403">
        <v>7000000</v>
      </c>
      <c r="F33" s="412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5.75" customHeight="1">
      <c r="A34" s="217"/>
      <c r="B34" s="218"/>
      <c r="C34" s="219"/>
      <c r="D34" s="219"/>
      <c r="E34" s="219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15" ht="30" customHeight="1">
      <c r="A35" s="221"/>
      <c r="B35" s="222"/>
      <c r="C35" s="223"/>
      <c r="D35" s="223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 ht="30.75" customHeight="1">
      <c r="A36" s="221"/>
      <c r="B36" s="222"/>
      <c r="C36" s="223"/>
      <c r="D36" s="223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ht="15.75" customHeight="1">
      <c r="A37" s="221"/>
      <c r="B37" s="222"/>
      <c r="C37" s="223"/>
      <c r="D37" s="223"/>
      <c r="E37" s="223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  <row r="38" spans="1:15" ht="15.75" customHeight="1" thickBot="1">
      <c r="A38" s="221"/>
      <c r="B38" s="222"/>
      <c r="C38" s="223"/>
      <c r="D38" s="223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5.75" customHeight="1" thickBot="1">
      <c r="A39" s="637" t="s">
        <v>112</v>
      </c>
      <c r="B39" s="638" t="s">
        <v>62</v>
      </c>
      <c r="C39" s="574" t="s">
        <v>406</v>
      </c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3"/>
    </row>
    <row r="40" spans="1:15" ht="15.75" customHeight="1" thickBot="1">
      <c r="A40" s="637"/>
      <c r="B40" s="639"/>
      <c r="C40" s="605" t="s">
        <v>63</v>
      </c>
      <c r="D40" s="640"/>
      <c r="E40" s="636"/>
      <c r="F40" s="605" t="s">
        <v>64</v>
      </c>
      <c r="G40" s="636"/>
      <c r="H40" s="636"/>
      <c r="I40" s="636"/>
      <c r="J40" s="636"/>
      <c r="K40" s="636"/>
      <c r="L40" s="636"/>
      <c r="M40" s="636"/>
      <c r="N40" s="636"/>
      <c r="O40" s="636"/>
    </row>
    <row r="41" spans="1:15" ht="15.75" customHeight="1" thickBot="1">
      <c r="A41" s="637"/>
      <c r="B41" s="639"/>
      <c r="C41" s="552">
        <v>2009</v>
      </c>
      <c r="D41" s="553">
        <v>2010</v>
      </c>
      <c r="E41" s="554">
        <v>2011</v>
      </c>
      <c r="F41" s="555">
        <v>2012</v>
      </c>
      <c r="G41" s="552">
        <v>2013</v>
      </c>
      <c r="H41" s="552">
        <v>2014</v>
      </c>
      <c r="I41" s="552">
        <v>2015</v>
      </c>
      <c r="J41" s="552">
        <v>2016</v>
      </c>
      <c r="K41" s="552">
        <v>2017</v>
      </c>
      <c r="L41" s="552">
        <v>2018</v>
      </c>
      <c r="M41" s="552">
        <v>2019</v>
      </c>
      <c r="N41" s="552">
        <v>2020</v>
      </c>
      <c r="O41" s="552">
        <v>2021</v>
      </c>
    </row>
    <row r="42" spans="1:15" ht="14.25" customHeight="1">
      <c r="A42" s="74" t="s">
        <v>140</v>
      </c>
      <c r="B42" s="139" t="s">
        <v>210</v>
      </c>
      <c r="C42" s="54"/>
      <c r="D42" s="54"/>
      <c r="E42" s="405"/>
      <c r="F42" s="412"/>
      <c r="G42" s="54">
        <f aca="true" t="shared" si="4" ref="G42:N42">SUM(G43:G45)</f>
        <v>7266899</v>
      </c>
      <c r="H42" s="54">
        <f t="shared" si="4"/>
        <v>7106453</v>
      </c>
      <c r="I42" s="54">
        <f t="shared" si="4"/>
        <v>6150000</v>
      </c>
      <c r="J42" s="54">
        <f t="shared" si="4"/>
        <v>6250000</v>
      </c>
      <c r="K42" s="54">
        <f t="shared" si="4"/>
        <v>6801170</v>
      </c>
      <c r="L42" s="54">
        <f t="shared" si="4"/>
        <v>5062028</v>
      </c>
      <c r="M42" s="54">
        <f t="shared" si="4"/>
        <v>7350523</v>
      </c>
      <c r="N42" s="54">
        <f t="shared" si="4"/>
        <v>6300000</v>
      </c>
      <c r="O42" s="54">
        <f>SUM(O43:O45)</f>
        <v>4523949</v>
      </c>
    </row>
    <row r="43" spans="1:15" ht="14.25" customHeight="1">
      <c r="A43" s="76" t="s">
        <v>66</v>
      </c>
      <c r="B43" s="56" t="s">
        <v>206</v>
      </c>
      <c r="C43" s="52"/>
      <c r="D43" s="77"/>
      <c r="E43" s="403"/>
      <c r="F43" s="409"/>
      <c r="G43" s="52">
        <f aca="true" t="shared" si="5" ref="G43:N43">G53</f>
        <v>3666899</v>
      </c>
      <c r="H43" s="52">
        <f t="shared" si="5"/>
        <v>3506453</v>
      </c>
      <c r="I43" s="52">
        <f t="shared" si="5"/>
        <v>2550000</v>
      </c>
      <c r="J43" s="52">
        <f>J53</f>
        <v>2550000</v>
      </c>
      <c r="K43" s="52">
        <f t="shared" si="5"/>
        <v>2401170</v>
      </c>
      <c r="L43" s="52">
        <f t="shared" si="5"/>
        <v>62028</v>
      </c>
      <c r="M43" s="52">
        <f t="shared" si="5"/>
        <v>750523</v>
      </c>
      <c r="N43" s="52">
        <f t="shared" si="5"/>
        <v>600000</v>
      </c>
      <c r="O43" s="52">
        <f>O53</f>
        <v>423949</v>
      </c>
    </row>
    <row r="44" spans="1:15" ht="14.25" customHeight="1">
      <c r="A44" s="76" t="s">
        <v>68</v>
      </c>
      <c r="B44" s="56" t="s">
        <v>211</v>
      </c>
      <c r="C44" s="52"/>
      <c r="D44" s="77"/>
      <c r="E44" s="403"/>
      <c r="F44" s="409"/>
      <c r="G44" s="52">
        <f aca="true" t="shared" si="6" ref="G44:N44">G54</f>
        <v>600000</v>
      </c>
      <c r="H44" s="52">
        <f t="shared" si="6"/>
        <v>600000</v>
      </c>
      <c r="I44" s="52">
        <f t="shared" si="6"/>
        <v>600000</v>
      </c>
      <c r="J44" s="52">
        <f t="shared" si="6"/>
        <v>700000</v>
      </c>
      <c r="K44" s="52">
        <f t="shared" si="6"/>
        <v>1400000</v>
      </c>
      <c r="L44" s="52">
        <f t="shared" si="6"/>
        <v>0</v>
      </c>
      <c r="M44" s="52">
        <f t="shared" si="6"/>
        <v>0</v>
      </c>
      <c r="N44" s="52">
        <f t="shared" si="6"/>
        <v>0</v>
      </c>
      <c r="O44" s="52">
        <f>O54</f>
        <v>0</v>
      </c>
    </row>
    <row r="45" spans="1:15" ht="15" customHeight="1">
      <c r="A45" s="76" t="s">
        <v>76</v>
      </c>
      <c r="B45" s="56" t="s">
        <v>91</v>
      </c>
      <c r="C45" s="52"/>
      <c r="D45" s="77"/>
      <c r="E45" s="403"/>
      <c r="F45" s="409"/>
      <c r="G45" s="52">
        <f aca="true" t="shared" si="7" ref="G45:N45">G55</f>
        <v>3000000</v>
      </c>
      <c r="H45" s="52">
        <f t="shared" si="7"/>
        <v>3000000</v>
      </c>
      <c r="I45" s="52">
        <f t="shared" si="7"/>
        <v>3000000</v>
      </c>
      <c r="J45" s="52">
        <f t="shared" si="7"/>
        <v>3000000</v>
      </c>
      <c r="K45" s="52">
        <f t="shared" si="7"/>
        <v>3000000</v>
      </c>
      <c r="L45" s="52">
        <f t="shared" si="7"/>
        <v>5000000</v>
      </c>
      <c r="M45" s="52">
        <f t="shared" si="7"/>
        <v>6600000</v>
      </c>
      <c r="N45" s="52">
        <f t="shared" si="7"/>
        <v>5700000</v>
      </c>
      <c r="O45" s="52">
        <f>O55</f>
        <v>4100000</v>
      </c>
    </row>
    <row r="46" spans="1:15" ht="15.75" customHeight="1">
      <c r="A46" s="74" t="s">
        <v>141</v>
      </c>
      <c r="B46" s="139" t="s">
        <v>109</v>
      </c>
      <c r="C46" s="54">
        <f>WPF!D24+WPF!D52</f>
        <v>28859761</v>
      </c>
      <c r="D46" s="54">
        <f>WPF!E24+WPF!E52</f>
        <v>10245475</v>
      </c>
      <c r="E46" s="405">
        <f>WPF!F24+WPF!F52</f>
        <v>14027077</v>
      </c>
      <c r="F46" s="412">
        <f>F49+F50</f>
        <v>10904678</v>
      </c>
      <c r="G46" s="54">
        <f>WPF!H24+WPF!H52</f>
        <v>0</v>
      </c>
      <c r="H46" s="54">
        <f>WPF!I24+WPF!I52</f>
        <v>0</v>
      </c>
      <c r="I46" s="54">
        <f>WPF!J24+WPF!J52</f>
        <v>0</v>
      </c>
      <c r="J46" s="54">
        <f>WPF!K24+WPF!K52</f>
        <v>0</v>
      </c>
      <c r="K46" s="54">
        <f>WPF!L24+WPF!L52</f>
        <v>0</v>
      </c>
      <c r="L46" s="54">
        <f>WPF!M24+WPF!M52</f>
        <v>0</v>
      </c>
      <c r="M46" s="54">
        <f>WPF!N24+WPF!N52</f>
        <v>0</v>
      </c>
      <c r="N46" s="54">
        <f>WPF!O24+WPF!O52</f>
        <v>0</v>
      </c>
      <c r="O46" s="54">
        <f>WPF!P24+WPF!P52</f>
        <v>0</v>
      </c>
    </row>
    <row r="47" spans="1:15" ht="11.25" customHeight="1">
      <c r="A47" s="132" t="s">
        <v>66</v>
      </c>
      <c r="B47" s="56" t="s">
        <v>89</v>
      </c>
      <c r="C47" s="51">
        <v>6330000</v>
      </c>
      <c r="D47" s="51"/>
      <c r="E47" s="403">
        <v>2100000</v>
      </c>
      <c r="F47" s="409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1.25" customHeight="1">
      <c r="A48" s="132" t="s">
        <v>68</v>
      </c>
      <c r="B48" s="56" t="s">
        <v>90</v>
      </c>
      <c r="C48" s="51">
        <v>4810000</v>
      </c>
      <c r="D48" s="51"/>
      <c r="E48" s="403"/>
      <c r="F48" s="409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1.25" customHeight="1">
      <c r="A49" s="132" t="s">
        <v>76</v>
      </c>
      <c r="B49" s="56" t="s">
        <v>97</v>
      </c>
      <c r="C49" s="51">
        <v>14000000</v>
      </c>
      <c r="D49" s="51">
        <v>9000000</v>
      </c>
      <c r="E49" s="403">
        <v>11500000</v>
      </c>
      <c r="F49" s="409">
        <v>6900000</v>
      </c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51.75" customHeight="1">
      <c r="A50" s="132" t="s">
        <v>79</v>
      </c>
      <c r="B50" s="72" t="s">
        <v>98</v>
      </c>
      <c r="C50" s="51">
        <v>3719761</v>
      </c>
      <c r="D50" s="51">
        <v>1245475</v>
      </c>
      <c r="E50" s="403">
        <v>427077</v>
      </c>
      <c r="F50" s="409">
        <v>4004678</v>
      </c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4.25" customHeight="1">
      <c r="A51" s="132" t="s">
        <v>139</v>
      </c>
      <c r="B51" s="73" t="s">
        <v>99</v>
      </c>
      <c r="C51" s="51"/>
      <c r="D51" s="51"/>
      <c r="E51" s="403"/>
      <c r="F51" s="409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21" customHeight="1">
      <c r="A52" s="74" t="s">
        <v>208</v>
      </c>
      <c r="B52" s="139" t="s">
        <v>110</v>
      </c>
      <c r="C52" s="54">
        <f>WPF!D29+WPF!D34</f>
        <v>3463314</v>
      </c>
      <c r="D52" s="54">
        <f>WPF!E29+WPF!E34</f>
        <v>6980085</v>
      </c>
      <c r="E52" s="405">
        <f>WPF!F29+WPF!F34</f>
        <v>4551585</v>
      </c>
      <c r="F52" s="412">
        <f>WPF!G29+WPF!G34</f>
        <v>6935040</v>
      </c>
      <c r="G52" s="54">
        <f>WPF!H29+WPF!H34</f>
        <v>7266899</v>
      </c>
      <c r="H52" s="54">
        <f>WPF!I29+WPF!I34</f>
        <v>7106453</v>
      </c>
      <c r="I52" s="54">
        <f>WPF!J29+WPF!J34</f>
        <v>6150000</v>
      </c>
      <c r="J52" s="54">
        <f>WPF!K29+WPF!K34</f>
        <v>6250000</v>
      </c>
      <c r="K52" s="54">
        <f>WPF!L29+WPF!L34</f>
        <v>6801170</v>
      </c>
      <c r="L52" s="54">
        <f>WPF!M29+WPF!M34</f>
        <v>5062028</v>
      </c>
      <c r="M52" s="54">
        <f>WPF!N29+WPF!N34</f>
        <v>7350523</v>
      </c>
      <c r="N52" s="54">
        <f>WPF!O29+WPF!O34</f>
        <v>6300000</v>
      </c>
      <c r="O52" s="54">
        <f>WPF!P29+WPF!P34</f>
        <v>4523949</v>
      </c>
    </row>
    <row r="53" spans="1:15" ht="12" customHeight="1">
      <c r="A53" s="76" t="s">
        <v>66</v>
      </c>
      <c r="B53" s="56" t="s">
        <v>89</v>
      </c>
      <c r="C53" s="52">
        <v>2963314</v>
      </c>
      <c r="D53" s="77">
        <v>3340085</v>
      </c>
      <c r="E53" s="403">
        <f>WPF!F30</f>
        <v>2141585</v>
      </c>
      <c r="F53" s="409">
        <f>WPF!G30</f>
        <v>3535040</v>
      </c>
      <c r="G53" s="52">
        <f>WPF!H30</f>
        <v>3666899</v>
      </c>
      <c r="H53" s="52">
        <f>WPF!I30</f>
        <v>3506453</v>
      </c>
      <c r="I53" s="52">
        <f>WPF!J30</f>
        <v>2550000</v>
      </c>
      <c r="J53" s="52">
        <f>WPF!K30</f>
        <v>2550000</v>
      </c>
      <c r="K53" s="52">
        <f>WPF!L30</f>
        <v>2401170</v>
      </c>
      <c r="L53" s="52">
        <f>WPF!M30</f>
        <v>62028</v>
      </c>
      <c r="M53" s="52">
        <f>WPF!N30</f>
        <v>750523</v>
      </c>
      <c r="N53" s="52">
        <f>WPF!O30</f>
        <v>600000</v>
      </c>
      <c r="O53" s="52">
        <f>WPF!P30</f>
        <v>423949</v>
      </c>
    </row>
    <row r="54" spans="1:15" ht="12" customHeight="1">
      <c r="A54" s="76" t="s">
        <v>68</v>
      </c>
      <c r="B54" s="56" t="s">
        <v>90</v>
      </c>
      <c r="C54" s="52">
        <v>500000</v>
      </c>
      <c r="D54" s="77">
        <v>3600000</v>
      </c>
      <c r="E54" s="403">
        <f>WPF!F31</f>
        <v>410000</v>
      </c>
      <c r="F54" s="409">
        <f>WPF!G31</f>
        <v>400000</v>
      </c>
      <c r="G54" s="52">
        <f>WPF!H31</f>
        <v>600000</v>
      </c>
      <c r="H54" s="52">
        <f>WPF!I31</f>
        <v>600000</v>
      </c>
      <c r="I54" s="52">
        <f>WPF!J31</f>
        <v>600000</v>
      </c>
      <c r="J54" s="52">
        <f>WPF!K31</f>
        <v>700000</v>
      </c>
      <c r="K54" s="52">
        <f>WPF!L31</f>
        <v>1400000</v>
      </c>
      <c r="L54" s="52">
        <f>WPF!M31</f>
        <v>0</v>
      </c>
      <c r="M54" s="52">
        <f>WPF!N31</f>
        <v>0</v>
      </c>
      <c r="N54" s="52">
        <f>WPF!O31</f>
        <v>0</v>
      </c>
      <c r="O54" s="52">
        <f>WPF!P31</f>
        <v>0</v>
      </c>
    </row>
    <row r="55" spans="1:15" ht="12.75" customHeight="1">
      <c r="A55" s="76" t="s">
        <v>76</v>
      </c>
      <c r="B55" s="56" t="s">
        <v>91</v>
      </c>
      <c r="C55" s="52"/>
      <c r="D55" s="77"/>
      <c r="E55" s="403">
        <f>WPF!F32</f>
        <v>2000000</v>
      </c>
      <c r="F55" s="409">
        <f>WPF!G32</f>
        <v>3000000</v>
      </c>
      <c r="G55" s="52">
        <f>WPF!H32</f>
        <v>3000000</v>
      </c>
      <c r="H55" s="52">
        <f>WPF!I32</f>
        <v>3000000</v>
      </c>
      <c r="I55" s="52">
        <f>WPF!J32</f>
        <v>3000000</v>
      </c>
      <c r="J55" s="52">
        <f>WPF!K32</f>
        <v>3000000</v>
      </c>
      <c r="K55" s="52">
        <f>WPF!L32</f>
        <v>3000000</v>
      </c>
      <c r="L55" s="52">
        <f>WPF!M32</f>
        <v>5000000</v>
      </c>
      <c r="M55" s="52">
        <f>WPF!N32</f>
        <v>6600000</v>
      </c>
      <c r="N55" s="52">
        <f>WPF!O32</f>
        <v>5700000</v>
      </c>
      <c r="O55" s="52">
        <f>WPF!P32</f>
        <v>4100000</v>
      </c>
    </row>
    <row r="56" spans="1:15" ht="36" customHeight="1" thickBot="1">
      <c r="A56" s="142">
        <v>16</v>
      </c>
      <c r="B56" s="143" t="s">
        <v>142</v>
      </c>
      <c r="C56" s="144">
        <f>(WPF!D14+WPF!D24)/'Prognoza długu'!C25%</f>
        <v>116.24893719986517</v>
      </c>
      <c r="D56" s="144">
        <f>(WPF!E14+WPF!E24)/'Prognoza długu'!D25%</f>
        <v>109.50668943564182</v>
      </c>
      <c r="E56" s="407">
        <f>(WPF!F14+WPF!F24)/'Prognoza długu'!E25%</f>
        <v>109.5395095059268</v>
      </c>
      <c r="F56" s="413">
        <f>(WPF!G14+WPF!G24)/'Prognoza długu'!F25%</f>
        <v>104.78975617802104</v>
      </c>
      <c r="G56" s="144">
        <f>(WPF!H14+WPF!H24)/'Prognoza długu'!G25%</f>
        <v>128.09585058483387</v>
      </c>
      <c r="H56" s="144">
        <f>(WPF!I14+WPF!I24)/'Prognoza długu'!H25%</f>
        <v>137.3138872450166</v>
      </c>
      <c r="I56" s="144">
        <f>(WPF!J14+WPF!J24)/'Prognoza długu'!I25%</f>
        <v>142.00766202964618</v>
      </c>
      <c r="J56" s="144">
        <f>(WPF!K14+WPF!K24)/'Prognoza długu'!J25%</f>
        <v>124.72566253037135</v>
      </c>
      <c r="K56" s="144">
        <f>(WPF!L14+WPF!L24)/'Prognoza długu'!K25%</f>
        <v>126.2044818932295</v>
      </c>
      <c r="L56" s="144">
        <f>(WPF!M14+WPF!M24)/'Prognoza długu'!L25%</f>
        <v>126.35710440384356</v>
      </c>
      <c r="M56" s="144">
        <f>(WPF!N14+WPF!N24)/'Prognoza długu'!M25%</f>
        <v>130.75654626875075</v>
      </c>
      <c r="N56" s="144">
        <f>(WPF!O14+WPF!O24)/'Prognoza długu'!N25%</f>
        <v>129.03440549707784</v>
      </c>
      <c r="O56" s="144">
        <f>(WPF!P14+WPF!P24)/'Prognoza długu'!O25%</f>
        <v>128.49611105587425</v>
      </c>
    </row>
    <row r="57" spans="1:15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</sheetData>
  <sheetProtection/>
  <mergeCells count="11">
    <mergeCell ref="A6:O6"/>
    <mergeCell ref="A7:A9"/>
    <mergeCell ref="B7:B9"/>
    <mergeCell ref="C7:O7"/>
    <mergeCell ref="C8:E8"/>
    <mergeCell ref="F8:O8"/>
    <mergeCell ref="A39:A41"/>
    <mergeCell ref="B39:B41"/>
    <mergeCell ref="C39:O39"/>
    <mergeCell ref="C40:E40"/>
    <mergeCell ref="F40:O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1"/>
  <sheetViews>
    <sheetView tabSelected="1" view="pageLayout" zoomScaleNormal="90" workbookViewId="0" topLeftCell="A74">
      <pane xSplit="16860" topLeftCell="L1" activePane="topLeft" state="split"/>
      <selection pane="topLeft" activeCell="B76" sqref="B76"/>
      <selection pane="topRight" activeCell="L17" sqref="L17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31" customWidth="1"/>
    <col min="4" max="5" width="8.28125" style="31" customWidth="1"/>
    <col min="6" max="6" width="5.28125" style="31" customWidth="1"/>
    <col min="7" max="7" width="6.28125" style="31" customWidth="1"/>
    <col min="8" max="8" width="8.00390625" style="31" customWidth="1"/>
    <col min="9" max="9" width="14.140625" style="31" customWidth="1"/>
    <col min="10" max="11" width="12.8515625" style="31" customWidth="1"/>
    <col min="12" max="12" width="13.00390625" style="31" customWidth="1"/>
    <col min="13" max="13" width="12.57421875" style="31" customWidth="1"/>
    <col min="14" max="14" width="12.7109375" style="31" customWidth="1"/>
    <col min="15" max="15" width="12.57421875" style="31" customWidth="1"/>
    <col min="16" max="16" width="11.140625" style="31" customWidth="1"/>
    <col min="17" max="17" width="14.421875" style="0" customWidth="1"/>
    <col min="18" max="18" width="11.7109375" style="0" bestFit="1" customWidth="1"/>
  </cols>
  <sheetData>
    <row r="1" spans="1:17" s="33" customFormat="1" ht="15" customHeight="1">
      <c r="A1" s="354"/>
      <c r="B1" s="146"/>
      <c r="C1" s="146"/>
      <c r="D1" s="146"/>
      <c r="E1" s="146"/>
      <c r="F1" s="146"/>
      <c r="G1" s="147"/>
      <c r="H1" s="146"/>
      <c r="I1" s="146"/>
      <c r="J1" s="146"/>
      <c r="K1" s="146"/>
      <c r="L1" s="146"/>
      <c r="M1" s="146"/>
      <c r="N1" s="146"/>
      <c r="O1" s="59" t="s">
        <v>143</v>
      </c>
      <c r="P1" s="59"/>
      <c r="Q1" s="146"/>
    </row>
    <row r="2" spans="1:17" s="36" customFormat="1" ht="4.5" customHeight="1">
      <c r="A2" s="354"/>
      <c r="B2" s="146"/>
      <c r="C2" s="146"/>
      <c r="D2" s="146"/>
      <c r="E2" s="146"/>
      <c r="F2" s="146"/>
      <c r="G2" s="148"/>
      <c r="H2" s="146"/>
      <c r="I2" s="146"/>
      <c r="J2" s="146"/>
      <c r="K2" s="146"/>
      <c r="L2" s="146"/>
      <c r="M2" s="146"/>
      <c r="N2" s="146"/>
      <c r="O2" s="64"/>
      <c r="P2" s="65"/>
      <c r="Q2" s="146"/>
    </row>
    <row r="3" spans="1:17" s="36" customFormat="1" ht="12.75" customHeight="1">
      <c r="A3" s="354"/>
      <c r="B3" s="146"/>
      <c r="C3" s="146"/>
      <c r="D3" s="146"/>
      <c r="E3" s="146"/>
      <c r="F3" s="146"/>
      <c r="G3" s="149"/>
      <c r="H3" s="146"/>
      <c r="I3" s="146"/>
      <c r="J3" s="146"/>
      <c r="K3" s="146"/>
      <c r="L3" s="146"/>
      <c r="M3" s="146"/>
      <c r="N3" s="146"/>
      <c r="O3" s="69" t="s">
        <v>408</v>
      </c>
      <c r="P3" s="65"/>
      <c r="Q3" s="146"/>
    </row>
    <row r="4" spans="1:17" s="36" customFormat="1" ht="12.75" customHeight="1">
      <c r="A4" s="354"/>
      <c r="B4" s="146"/>
      <c r="C4" s="146"/>
      <c r="D4" s="146"/>
      <c r="E4" s="146"/>
      <c r="F4" s="146"/>
      <c r="G4" s="149"/>
      <c r="H4" s="146"/>
      <c r="I4" s="146"/>
      <c r="J4" s="146"/>
      <c r="K4" s="146"/>
      <c r="L4" s="146"/>
      <c r="M4" s="146"/>
      <c r="N4" s="146"/>
      <c r="O4" s="69" t="s">
        <v>49</v>
      </c>
      <c r="P4" s="65"/>
      <c r="Q4" s="146"/>
    </row>
    <row r="5" spans="1:17" s="36" customFormat="1" ht="16.5" customHeight="1" thickBot="1">
      <c r="A5" s="354"/>
      <c r="B5" s="146"/>
      <c r="C5" s="146"/>
      <c r="D5" s="146"/>
      <c r="E5" s="146"/>
      <c r="F5" s="146"/>
      <c r="G5" s="149"/>
      <c r="H5" s="146"/>
      <c r="I5" s="146"/>
      <c r="J5" s="530"/>
      <c r="K5" s="146"/>
      <c r="L5" s="146"/>
      <c r="M5" s="146"/>
      <c r="N5" s="146"/>
      <c r="O5" s="69" t="s">
        <v>407</v>
      </c>
      <c r="P5" s="65"/>
      <c r="Q5" s="146"/>
    </row>
    <row r="6" spans="1:17" s="36" customFormat="1" ht="12.75" customHeight="1">
      <c r="A6" s="677" t="s">
        <v>314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</row>
    <row r="7" spans="1:17" s="36" customFormat="1" ht="12.75" customHeight="1" thickBot="1">
      <c r="A7" s="678"/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</row>
    <row r="8" spans="1:17" s="36" customFormat="1" ht="12.75" customHeight="1">
      <c r="A8" s="672" t="s">
        <v>112</v>
      </c>
      <c r="B8" s="673" t="s">
        <v>144</v>
      </c>
      <c r="C8" s="674" t="s">
        <v>145</v>
      </c>
      <c r="D8" s="675" t="s">
        <v>231</v>
      </c>
      <c r="E8" s="675"/>
      <c r="F8" s="675" t="s">
        <v>146</v>
      </c>
      <c r="G8" s="675"/>
      <c r="H8" s="675"/>
      <c r="I8" s="676" t="s">
        <v>147</v>
      </c>
      <c r="J8" s="679" t="s">
        <v>313</v>
      </c>
      <c r="K8" s="679"/>
      <c r="L8" s="679"/>
      <c r="M8" s="679"/>
      <c r="N8" s="679"/>
      <c r="O8" s="679"/>
      <c r="P8" s="679"/>
      <c r="Q8" s="669" t="s">
        <v>148</v>
      </c>
    </row>
    <row r="9" spans="1:17" s="36" customFormat="1" ht="11.25" customHeight="1">
      <c r="A9" s="655"/>
      <c r="B9" s="659"/>
      <c r="C9" s="662"/>
      <c r="D9" s="665"/>
      <c r="E9" s="665"/>
      <c r="F9" s="665"/>
      <c r="G9" s="665"/>
      <c r="H9" s="665"/>
      <c r="I9" s="643"/>
      <c r="J9" s="670">
        <v>2012</v>
      </c>
      <c r="K9" s="671"/>
      <c r="L9" s="671"/>
      <c r="M9" s="642">
        <v>2013</v>
      </c>
      <c r="N9" s="642">
        <v>2014</v>
      </c>
      <c r="O9" s="642">
        <v>2015</v>
      </c>
      <c r="P9" s="642">
        <v>2016</v>
      </c>
      <c r="Q9" s="648"/>
    </row>
    <row r="10" spans="1:17" s="36" customFormat="1" ht="11.25" customHeight="1">
      <c r="A10" s="656"/>
      <c r="B10" s="660"/>
      <c r="C10" s="663"/>
      <c r="D10" s="642" t="s">
        <v>149</v>
      </c>
      <c r="E10" s="642" t="s">
        <v>150</v>
      </c>
      <c r="F10" s="667" t="s">
        <v>151</v>
      </c>
      <c r="G10" s="667" t="s">
        <v>152</v>
      </c>
      <c r="H10" s="667" t="s">
        <v>153</v>
      </c>
      <c r="I10" s="644"/>
      <c r="J10" s="670"/>
      <c r="K10" s="671"/>
      <c r="L10" s="671"/>
      <c r="M10" s="643"/>
      <c r="N10" s="643"/>
      <c r="O10" s="643"/>
      <c r="P10" s="643"/>
      <c r="Q10" s="649"/>
    </row>
    <row r="11" spans="1:17" s="36" customFormat="1" ht="20.25" customHeight="1" thickBot="1">
      <c r="A11" s="657"/>
      <c r="B11" s="645"/>
      <c r="C11" s="645"/>
      <c r="D11" s="645"/>
      <c r="E11" s="645"/>
      <c r="F11" s="645"/>
      <c r="G11" s="645"/>
      <c r="H11" s="645"/>
      <c r="I11" s="645"/>
      <c r="J11" s="478" t="s">
        <v>310</v>
      </c>
      <c r="K11" s="478" t="s">
        <v>311</v>
      </c>
      <c r="L11" s="478" t="s">
        <v>312</v>
      </c>
      <c r="M11" s="653"/>
      <c r="N11" s="653"/>
      <c r="O11" s="653"/>
      <c r="P11" s="653"/>
      <c r="Q11" s="650"/>
    </row>
    <row r="12" spans="1:18" s="32" customFormat="1" ht="26.25" customHeight="1">
      <c r="A12" s="150"/>
      <c r="B12" s="151" t="s">
        <v>154</v>
      </c>
      <c r="C12" s="152" t="s">
        <v>81</v>
      </c>
      <c r="D12" s="152" t="s">
        <v>81</v>
      </c>
      <c r="E12" s="152" t="s">
        <v>81</v>
      </c>
      <c r="F12" s="152"/>
      <c r="G12" s="152"/>
      <c r="H12" s="152"/>
      <c r="I12" s="153">
        <f aca="true" t="shared" si="0" ref="I12:P12">I13+I14</f>
        <v>252765558</v>
      </c>
      <c r="J12" s="479">
        <f t="shared" si="0"/>
        <v>75150346</v>
      </c>
      <c r="K12" s="479">
        <f>K13+K14</f>
        <v>-2280718</v>
      </c>
      <c r="L12" s="479">
        <f>L13+L14</f>
        <v>72869628</v>
      </c>
      <c r="M12" s="153">
        <f t="shared" si="0"/>
        <v>82955296</v>
      </c>
      <c r="N12" s="154">
        <f>N13+N14</f>
        <v>30724714</v>
      </c>
      <c r="O12" s="154">
        <f t="shared" si="0"/>
        <v>42237310</v>
      </c>
      <c r="P12" s="154">
        <f t="shared" si="0"/>
        <v>5918490</v>
      </c>
      <c r="Q12" s="155">
        <f>SUM(L12:P12)</f>
        <v>234705438</v>
      </c>
      <c r="R12" s="494">
        <f>Q13+Q14</f>
        <v>234705438</v>
      </c>
    </row>
    <row r="13" spans="1:17" s="37" customFormat="1" ht="24.75" customHeight="1">
      <c r="A13" s="156"/>
      <c r="B13" s="157" t="s">
        <v>155</v>
      </c>
      <c r="C13" s="89" t="s">
        <v>81</v>
      </c>
      <c r="D13" s="89" t="s">
        <v>81</v>
      </c>
      <c r="E13" s="89" t="s">
        <v>81</v>
      </c>
      <c r="F13" s="89"/>
      <c r="G13" s="89"/>
      <c r="H13" s="89"/>
      <c r="I13" s="158">
        <f aca="true" t="shared" si="1" ref="I13:P13">I109</f>
        <v>37601676</v>
      </c>
      <c r="J13" s="480">
        <f t="shared" si="1"/>
        <v>11756168</v>
      </c>
      <c r="K13" s="480">
        <f>K109</f>
        <v>717194</v>
      </c>
      <c r="L13" s="480">
        <f>L109</f>
        <v>12473362</v>
      </c>
      <c r="M13" s="158">
        <f t="shared" si="1"/>
        <v>9024790</v>
      </c>
      <c r="N13" s="158">
        <f t="shared" si="1"/>
        <v>5933714</v>
      </c>
      <c r="O13" s="158">
        <f t="shared" si="1"/>
        <v>3761310</v>
      </c>
      <c r="P13" s="158">
        <f t="shared" si="1"/>
        <v>3558490</v>
      </c>
      <c r="Q13" s="159">
        <f>SUM(L13:P13)</f>
        <v>34751666</v>
      </c>
    </row>
    <row r="14" spans="1:18" s="37" customFormat="1" ht="24.75" customHeight="1">
      <c r="A14" s="156"/>
      <c r="B14" s="157" t="s">
        <v>156</v>
      </c>
      <c r="C14" s="89" t="s">
        <v>81</v>
      </c>
      <c r="D14" s="89" t="s">
        <v>81</v>
      </c>
      <c r="E14" s="89" t="s">
        <v>81</v>
      </c>
      <c r="F14" s="89"/>
      <c r="G14" s="89"/>
      <c r="H14" s="89"/>
      <c r="I14" s="158">
        <f aca="true" t="shared" si="2" ref="I14:P15">I15</f>
        <v>215163882</v>
      </c>
      <c r="J14" s="480">
        <f t="shared" si="2"/>
        <v>63394178</v>
      </c>
      <c r="K14" s="480">
        <f t="shared" si="2"/>
        <v>-2997912</v>
      </c>
      <c r="L14" s="480">
        <f t="shared" si="2"/>
        <v>60396266</v>
      </c>
      <c r="M14" s="158">
        <f t="shared" si="2"/>
        <v>73930506</v>
      </c>
      <c r="N14" s="158">
        <f t="shared" si="2"/>
        <v>24791000</v>
      </c>
      <c r="O14" s="158">
        <f t="shared" si="2"/>
        <v>38476000</v>
      </c>
      <c r="P14" s="158">
        <f t="shared" si="2"/>
        <v>2360000</v>
      </c>
      <c r="Q14" s="159">
        <f>SUM(L14:P14)</f>
        <v>199953772</v>
      </c>
      <c r="R14" s="495">
        <f>J12+K12</f>
        <v>72869628</v>
      </c>
    </row>
    <row r="15" spans="1:17" s="38" customFormat="1" ht="39.75" customHeight="1">
      <c r="A15" s="160" t="s">
        <v>157</v>
      </c>
      <c r="B15" s="161" t="s">
        <v>401</v>
      </c>
      <c r="C15" s="162" t="s">
        <v>81</v>
      </c>
      <c r="D15" s="162" t="s">
        <v>81</v>
      </c>
      <c r="E15" s="162" t="s">
        <v>81</v>
      </c>
      <c r="F15" s="162"/>
      <c r="G15" s="162"/>
      <c r="H15" s="162"/>
      <c r="I15" s="163">
        <f>I16</f>
        <v>215163882</v>
      </c>
      <c r="J15" s="481">
        <f t="shared" si="2"/>
        <v>63394178</v>
      </c>
      <c r="K15" s="481">
        <f t="shared" si="2"/>
        <v>-2997912</v>
      </c>
      <c r="L15" s="481">
        <f t="shared" si="2"/>
        <v>60396266</v>
      </c>
      <c r="M15" s="163">
        <f t="shared" si="2"/>
        <v>73930506</v>
      </c>
      <c r="N15" s="164">
        <f>N16</f>
        <v>24791000</v>
      </c>
      <c r="O15" s="164">
        <f>O16</f>
        <v>38476000</v>
      </c>
      <c r="P15" s="163">
        <f>P16</f>
        <v>2360000</v>
      </c>
      <c r="Q15" s="165">
        <f>SUM(L15:P15)</f>
        <v>199953772</v>
      </c>
    </row>
    <row r="16" spans="1:21" s="37" customFormat="1" ht="25.5" customHeight="1">
      <c r="A16" s="156"/>
      <c r="B16" s="157" t="s">
        <v>156</v>
      </c>
      <c r="C16" s="89" t="s">
        <v>81</v>
      </c>
      <c r="D16" s="89" t="s">
        <v>81</v>
      </c>
      <c r="E16" s="89" t="s">
        <v>81</v>
      </c>
      <c r="F16" s="89"/>
      <c r="G16" s="89"/>
      <c r="H16" s="89"/>
      <c r="I16" s="158">
        <f aca="true" t="shared" si="3" ref="I16:Q16">I18+I67</f>
        <v>215163882</v>
      </c>
      <c r="J16" s="480">
        <f t="shared" si="3"/>
        <v>63394178</v>
      </c>
      <c r="K16" s="480">
        <f t="shared" si="3"/>
        <v>-2997912</v>
      </c>
      <c r="L16" s="480">
        <f t="shared" si="3"/>
        <v>60396266</v>
      </c>
      <c r="M16" s="158">
        <f t="shared" si="3"/>
        <v>73930506</v>
      </c>
      <c r="N16" s="158">
        <f t="shared" si="3"/>
        <v>24791000</v>
      </c>
      <c r="O16" s="158">
        <f t="shared" si="3"/>
        <v>38476000</v>
      </c>
      <c r="P16" s="158">
        <f t="shared" si="3"/>
        <v>2360000</v>
      </c>
      <c r="Q16" s="158">
        <f t="shared" si="3"/>
        <v>199953772</v>
      </c>
      <c r="R16" s="345">
        <f>R19+R38+R50+R68+R109</f>
        <v>235962388</v>
      </c>
      <c r="S16" s="345">
        <f>R16-Q12</f>
        <v>1256950</v>
      </c>
      <c r="T16" s="39"/>
      <c r="U16" s="39"/>
    </row>
    <row r="17" spans="1:28" s="42" customFormat="1" ht="62.25" customHeight="1">
      <c r="A17" s="160" t="s">
        <v>158</v>
      </c>
      <c r="B17" s="348" t="s">
        <v>159</v>
      </c>
      <c r="C17" s="162" t="s">
        <v>81</v>
      </c>
      <c r="D17" s="162" t="s">
        <v>81</v>
      </c>
      <c r="E17" s="162" t="s">
        <v>81</v>
      </c>
      <c r="F17" s="162"/>
      <c r="G17" s="162"/>
      <c r="H17" s="162"/>
      <c r="I17" s="163">
        <f aca="true" t="shared" si="4" ref="I17:P17">I18</f>
        <v>191161357</v>
      </c>
      <c r="J17" s="481">
        <f t="shared" si="4"/>
        <v>54131731</v>
      </c>
      <c r="K17" s="481">
        <f t="shared" si="4"/>
        <v>-2628207</v>
      </c>
      <c r="L17" s="481">
        <f t="shared" si="4"/>
        <v>51503524</v>
      </c>
      <c r="M17" s="163">
        <f t="shared" si="4"/>
        <v>63716261</v>
      </c>
      <c r="N17" s="163">
        <f t="shared" si="4"/>
        <v>22925000</v>
      </c>
      <c r="O17" s="163">
        <f t="shared" si="4"/>
        <v>38390000</v>
      </c>
      <c r="P17" s="163">
        <f t="shared" si="4"/>
        <v>1710000</v>
      </c>
      <c r="Q17" s="165">
        <f>SUM(L17:P17)</f>
        <v>178244785</v>
      </c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</row>
    <row r="18" spans="1:18" s="37" customFormat="1" ht="25.5" customHeight="1">
      <c r="A18" s="156"/>
      <c r="B18" s="157" t="s">
        <v>156</v>
      </c>
      <c r="C18" s="89" t="s">
        <v>81</v>
      </c>
      <c r="D18" s="89" t="s">
        <v>81</v>
      </c>
      <c r="E18" s="89" t="s">
        <v>81</v>
      </c>
      <c r="F18" s="89"/>
      <c r="G18" s="89"/>
      <c r="H18" s="89"/>
      <c r="I18" s="158">
        <f aca="true" t="shared" si="5" ref="I18:Q18">I19+I38+I50</f>
        <v>191161357</v>
      </c>
      <c r="J18" s="480">
        <f t="shared" si="5"/>
        <v>54131731</v>
      </c>
      <c r="K18" s="480">
        <f t="shared" si="5"/>
        <v>-2628207</v>
      </c>
      <c r="L18" s="480">
        <f t="shared" si="5"/>
        <v>51503524</v>
      </c>
      <c r="M18" s="158">
        <f t="shared" si="5"/>
        <v>63716261</v>
      </c>
      <c r="N18" s="158">
        <f t="shared" si="5"/>
        <v>22925000</v>
      </c>
      <c r="O18" s="158">
        <f t="shared" si="5"/>
        <v>38390000</v>
      </c>
      <c r="P18" s="158">
        <f t="shared" si="5"/>
        <v>1710000</v>
      </c>
      <c r="Q18" s="166">
        <f t="shared" si="5"/>
        <v>178244785</v>
      </c>
      <c r="R18" s="342">
        <f>SUM(L18:P18)</f>
        <v>178244785</v>
      </c>
    </row>
    <row r="19" spans="1:18" s="43" customFormat="1" ht="30.75" customHeight="1">
      <c r="A19" s="384" t="s">
        <v>160</v>
      </c>
      <c r="B19" s="385" t="s">
        <v>161</v>
      </c>
      <c r="C19" s="386" t="s">
        <v>162</v>
      </c>
      <c r="D19" s="372">
        <v>2004</v>
      </c>
      <c r="E19" s="372">
        <v>2016</v>
      </c>
      <c r="F19" s="680" t="s">
        <v>235</v>
      </c>
      <c r="G19" s="680"/>
      <c r="H19" s="680"/>
      <c r="I19" s="387">
        <f>I20+I24+I28+I29+I30+I31+I32+I37</f>
        <v>78881211</v>
      </c>
      <c r="J19" s="387">
        <f>J20+J24+J28+J29+J30+J31+J32+J37</f>
        <v>24345446</v>
      </c>
      <c r="K19" s="387">
        <f>K20+K24+K28+K29+K30+K31+K32+K37</f>
        <v>-2714207</v>
      </c>
      <c r="L19" s="387">
        <f>L20+L24+L28+L29+L30+L31+L32+L37</f>
        <v>21631239</v>
      </c>
      <c r="M19" s="387">
        <f>M24+M20+M37+M30+M29+M28+M31+M32</f>
        <v>31071261</v>
      </c>
      <c r="N19" s="387">
        <f>N24+N20+N37+N30+N29+N28+N31</f>
        <v>8925000</v>
      </c>
      <c r="O19" s="387">
        <f>O24+O20+O37+O30+O29+O28+O31+O32</f>
        <v>6590000</v>
      </c>
      <c r="P19" s="387">
        <f>P24+P20+P37+P30+P29+P28+P31+P32</f>
        <v>1710000</v>
      </c>
      <c r="Q19" s="387">
        <f>Q24+Q20+SUM(Q28:Q37)</f>
        <v>69927500</v>
      </c>
      <c r="R19" s="344">
        <f>SUM(L19:P19)</f>
        <v>69927500</v>
      </c>
    </row>
    <row r="20" spans="1:18" s="19" customFormat="1" ht="25.5" customHeight="1">
      <c r="A20" s="190" t="s">
        <v>163</v>
      </c>
      <c r="B20" s="681" t="s">
        <v>164</v>
      </c>
      <c r="C20" s="508" t="s">
        <v>165</v>
      </c>
      <c r="D20" s="507">
        <v>2004</v>
      </c>
      <c r="E20" s="507">
        <v>2016</v>
      </c>
      <c r="F20" s="683" t="s">
        <v>166</v>
      </c>
      <c r="G20" s="683"/>
      <c r="H20" s="683"/>
      <c r="I20" s="170">
        <f>SUM(I21:I23)</f>
        <v>45689433</v>
      </c>
      <c r="J20" s="480">
        <f>SUM(J21:J23)</f>
        <v>13455250</v>
      </c>
      <c r="K20" s="480">
        <f>SUM(K21:K23)</f>
        <v>-2680000</v>
      </c>
      <c r="L20" s="480">
        <f>J20+K20</f>
        <v>10775250</v>
      </c>
      <c r="M20" s="170">
        <f>SUM(M21:M23)</f>
        <v>12816261</v>
      </c>
      <c r="N20" s="170">
        <f>SUM(N21:N23)</f>
        <v>8925000</v>
      </c>
      <c r="O20" s="170">
        <f>SUM(O21:O23)</f>
        <v>6500000</v>
      </c>
      <c r="P20" s="170">
        <f>SUM(P21:P23)</f>
        <v>1000000</v>
      </c>
      <c r="Q20" s="159">
        <f>SUM(L20:P20)</f>
        <v>40016511</v>
      </c>
      <c r="R20" s="30">
        <f>SUM(Q21:Q23)</f>
        <v>40016511</v>
      </c>
    </row>
    <row r="21" spans="1:17" s="19" customFormat="1" ht="24.75" customHeight="1">
      <c r="A21" s="197"/>
      <c r="B21" s="682"/>
      <c r="C21" s="350"/>
      <c r="D21" s="350"/>
      <c r="E21" s="350"/>
      <c r="F21" s="171" t="s">
        <v>167</v>
      </c>
      <c r="G21" s="171" t="s">
        <v>168</v>
      </c>
      <c r="H21" s="171">
        <v>6050</v>
      </c>
      <c r="I21" s="172">
        <f>L21+M21+N21+O21+P21+1903935</f>
        <v>19626645</v>
      </c>
      <c r="J21" s="482">
        <v>6292710</v>
      </c>
      <c r="K21" s="482">
        <v>-1055000</v>
      </c>
      <c r="L21" s="488">
        <f aca="true" t="shared" si="6" ref="L21:L42">J21+K21</f>
        <v>5237710</v>
      </c>
      <c r="M21" s="173">
        <v>485000</v>
      </c>
      <c r="N21" s="173">
        <v>4500000</v>
      </c>
      <c r="O21" s="173">
        <v>6500000</v>
      </c>
      <c r="P21" s="174">
        <v>1000000</v>
      </c>
      <c r="Q21" s="175">
        <f>SUM(L21:P21)</f>
        <v>17722710</v>
      </c>
    </row>
    <row r="22" spans="1:17" s="19" customFormat="1" ht="25.5" customHeight="1">
      <c r="A22" s="197"/>
      <c r="B22" s="364"/>
      <c r="C22" s="350"/>
      <c r="D22" s="350"/>
      <c r="E22" s="350"/>
      <c r="F22" s="176"/>
      <c r="G22" s="176"/>
      <c r="H22" s="176">
        <v>6058</v>
      </c>
      <c r="I22" s="177">
        <f>L22+M22+N22</f>
        <v>17760500</v>
      </c>
      <c r="J22" s="483">
        <v>5082999</v>
      </c>
      <c r="K22" s="483">
        <v>-1625000</v>
      </c>
      <c r="L22" s="489">
        <f t="shared" si="6"/>
        <v>3457999</v>
      </c>
      <c r="M22" s="178">
        <v>9877501</v>
      </c>
      <c r="N22" s="179">
        <v>4425000</v>
      </c>
      <c r="O22" s="179"/>
      <c r="P22" s="179"/>
      <c r="Q22" s="180">
        <f aca="true" t="shared" si="7" ref="Q22:Q27">SUM(L22:O22)</f>
        <v>17760500</v>
      </c>
    </row>
    <row r="23" spans="1:17" s="19" customFormat="1" ht="25.5" customHeight="1">
      <c r="A23" s="351"/>
      <c r="B23" s="365"/>
      <c r="C23" s="352"/>
      <c r="D23" s="352"/>
      <c r="E23" s="352"/>
      <c r="F23" s="181"/>
      <c r="G23" s="181"/>
      <c r="H23" s="181">
        <v>6059</v>
      </c>
      <c r="I23" s="182">
        <f>L23+M23+3768987</f>
        <v>8302288</v>
      </c>
      <c r="J23" s="491">
        <v>2079541</v>
      </c>
      <c r="K23" s="484"/>
      <c r="L23" s="490">
        <f>J23+K23</f>
        <v>2079541</v>
      </c>
      <c r="M23" s="183">
        <v>2453760</v>
      </c>
      <c r="N23" s="184"/>
      <c r="O23" s="184"/>
      <c r="P23" s="184"/>
      <c r="Q23" s="180">
        <f t="shared" si="7"/>
        <v>4533301</v>
      </c>
    </row>
    <row r="24" spans="1:18" s="19" customFormat="1" ht="25.5" customHeight="1">
      <c r="A24" s="190" t="s">
        <v>169</v>
      </c>
      <c r="B24" s="681" t="s">
        <v>170</v>
      </c>
      <c r="C24" s="349" t="s">
        <v>165</v>
      </c>
      <c r="D24" s="349">
        <v>2004</v>
      </c>
      <c r="E24" s="349">
        <v>2013</v>
      </c>
      <c r="F24" s="683" t="s">
        <v>166</v>
      </c>
      <c r="G24" s="683"/>
      <c r="H24" s="683"/>
      <c r="I24" s="170">
        <f>SUM(I25:I27)</f>
        <v>29475896</v>
      </c>
      <c r="J24" s="480">
        <f>SUM(J25:J27)</f>
        <v>7948196</v>
      </c>
      <c r="K24" s="480"/>
      <c r="L24" s="480">
        <f t="shared" si="6"/>
        <v>7948196</v>
      </c>
      <c r="M24" s="170">
        <f>SUM(M25:M27)</f>
        <v>18255000</v>
      </c>
      <c r="N24" s="232">
        <v>0</v>
      </c>
      <c r="O24" s="169">
        <v>0</v>
      </c>
      <c r="P24" s="169">
        <v>0</v>
      </c>
      <c r="Q24" s="159">
        <f t="shared" si="7"/>
        <v>26203196</v>
      </c>
      <c r="R24" s="30">
        <f>Q25+Q26+Q27</f>
        <v>26203196</v>
      </c>
    </row>
    <row r="25" spans="1:17" s="19" customFormat="1" ht="23.25" customHeight="1">
      <c r="A25" s="197"/>
      <c r="B25" s="682"/>
      <c r="C25" s="350"/>
      <c r="D25" s="350"/>
      <c r="E25" s="350"/>
      <c r="F25" s="171" t="s">
        <v>167</v>
      </c>
      <c r="G25" s="171" t="s">
        <v>168</v>
      </c>
      <c r="H25" s="171">
        <v>6050</v>
      </c>
      <c r="I25" s="172">
        <f>L25+M25+3272700</f>
        <v>5720896</v>
      </c>
      <c r="J25" s="482">
        <v>1948196</v>
      </c>
      <c r="K25" s="482"/>
      <c r="L25" s="488">
        <f t="shared" si="6"/>
        <v>1948196</v>
      </c>
      <c r="M25" s="173">
        <v>500000</v>
      </c>
      <c r="N25" s="174"/>
      <c r="O25" s="174"/>
      <c r="P25" s="174"/>
      <c r="Q25" s="175">
        <f t="shared" si="7"/>
        <v>2448196</v>
      </c>
    </row>
    <row r="26" spans="1:17" s="19" customFormat="1" ht="23.25" customHeight="1">
      <c r="A26" s="197"/>
      <c r="B26" s="366"/>
      <c r="C26" s="350"/>
      <c r="D26" s="350"/>
      <c r="E26" s="350"/>
      <c r="F26" s="176"/>
      <c r="G26" s="176"/>
      <c r="H26" s="176">
        <v>6058</v>
      </c>
      <c r="I26" s="177">
        <f>L26+M26</f>
        <v>19835000</v>
      </c>
      <c r="J26" s="483">
        <v>3600000</v>
      </c>
      <c r="K26" s="483"/>
      <c r="L26" s="489">
        <f t="shared" si="6"/>
        <v>3600000</v>
      </c>
      <c r="M26" s="178">
        <v>16235000</v>
      </c>
      <c r="N26" s="179"/>
      <c r="O26" s="179"/>
      <c r="P26" s="179"/>
      <c r="Q26" s="180">
        <f t="shared" si="7"/>
        <v>19835000</v>
      </c>
    </row>
    <row r="27" spans="1:17" s="19" customFormat="1" ht="23.25" customHeight="1">
      <c r="A27" s="351"/>
      <c r="B27" s="365"/>
      <c r="C27" s="353"/>
      <c r="D27" s="353"/>
      <c r="E27" s="352"/>
      <c r="F27" s="181"/>
      <c r="G27" s="181"/>
      <c r="H27" s="181">
        <v>6059</v>
      </c>
      <c r="I27" s="182">
        <f>L27+M27</f>
        <v>3920000</v>
      </c>
      <c r="J27" s="484">
        <v>2400000</v>
      </c>
      <c r="K27" s="484"/>
      <c r="L27" s="490">
        <f t="shared" si="6"/>
        <v>2400000</v>
      </c>
      <c r="M27" s="183">
        <v>1520000</v>
      </c>
      <c r="N27" s="184"/>
      <c r="O27" s="184"/>
      <c r="P27" s="184"/>
      <c r="Q27" s="185">
        <f t="shared" si="7"/>
        <v>3920000</v>
      </c>
    </row>
    <row r="28" spans="1:17" s="19" customFormat="1" ht="51.75" customHeight="1">
      <c r="A28" s="351" t="s">
        <v>242</v>
      </c>
      <c r="B28" s="367" t="s">
        <v>250</v>
      </c>
      <c r="C28" s="373" t="s">
        <v>165</v>
      </c>
      <c r="D28" s="352">
        <v>2011</v>
      </c>
      <c r="E28" s="352">
        <v>2012</v>
      </c>
      <c r="F28" s="375" t="s">
        <v>167</v>
      </c>
      <c r="G28" s="375" t="s">
        <v>168</v>
      </c>
      <c r="H28" s="352">
        <v>6050</v>
      </c>
      <c r="I28" s="361">
        <f>L28+3641</f>
        <v>129101</v>
      </c>
      <c r="J28" s="485">
        <v>136000</v>
      </c>
      <c r="K28" s="485">
        <v>-10540</v>
      </c>
      <c r="L28" s="480">
        <f t="shared" si="6"/>
        <v>125460</v>
      </c>
      <c r="M28" s="362"/>
      <c r="N28" s="363"/>
      <c r="O28" s="363"/>
      <c r="P28" s="363"/>
      <c r="Q28" s="493">
        <f>SUM(L28:P28)</f>
        <v>125460</v>
      </c>
    </row>
    <row r="29" spans="1:17" s="19" customFormat="1" ht="50.25" customHeight="1">
      <c r="A29" s="351" t="s">
        <v>243</v>
      </c>
      <c r="B29" s="367" t="s">
        <v>251</v>
      </c>
      <c r="C29" s="373" t="s">
        <v>165</v>
      </c>
      <c r="D29" s="352">
        <v>2011</v>
      </c>
      <c r="E29" s="352">
        <v>2012</v>
      </c>
      <c r="F29" s="375" t="s">
        <v>167</v>
      </c>
      <c r="G29" s="375" t="s">
        <v>168</v>
      </c>
      <c r="H29" s="352">
        <v>6050</v>
      </c>
      <c r="I29" s="361">
        <f>L29+3604</f>
        <v>247937</v>
      </c>
      <c r="J29" s="485">
        <v>268000</v>
      </c>
      <c r="K29" s="485">
        <v>-23667</v>
      </c>
      <c r="L29" s="480">
        <f t="shared" si="6"/>
        <v>244333</v>
      </c>
      <c r="M29" s="362"/>
      <c r="N29" s="363"/>
      <c r="O29" s="363"/>
      <c r="P29" s="363"/>
      <c r="Q29" s="185">
        <f>SUM(L29:P29)</f>
        <v>244333</v>
      </c>
    </row>
    <row r="30" spans="1:17" s="19" customFormat="1" ht="35.25" customHeight="1">
      <c r="A30" s="351" t="s">
        <v>248</v>
      </c>
      <c r="B30" s="368" t="s">
        <v>364</v>
      </c>
      <c r="C30" s="502" t="s">
        <v>165</v>
      </c>
      <c r="D30" s="352">
        <v>2012</v>
      </c>
      <c r="E30" s="352">
        <v>2016</v>
      </c>
      <c r="F30" s="352">
        <v>900</v>
      </c>
      <c r="G30" s="352">
        <v>90001</v>
      </c>
      <c r="H30" s="352">
        <v>6050</v>
      </c>
      <c r="I30" s="361">
        <f>Q30</f>
        <v>298000</v>
      </c>
      <c r="J30" s="485">
        <v>98000</v>
      </c>
      <c r="K30" s="485"/>
      <c r="L30" s="480">
        <f t="shared" si="6"/>
        <v>98000</v>
      </c>
      <c r="M30" s="362"/>
      <c r="N30" s="363"/>
      <c r="O30" s="362">
        <v>50000</v>
      </c>
      <c r="P30" s="362">
        <v>150000</v>
      </c>
      <c r="Q30" s="185">
        <f>SUM(L30:P30)</f>
        <v>298000</v>
      </c>
    </row>
    <row r="31" spans="1:17" s="19" customFormat="1" ht="33.75" customHeight="1">
      <c r="A31" s="351" t="s">
        <v>249</v>
      </c>
      <c r="B31" s="367" t="s">
        <v>194</v>
      </c>
      <c r="C31" s="497" t="s">
        <v>277</v>
      </c>
      <c r="D31" s="352">
        <v>2011</v>
      </c>
      <c r="E31" s="352">
        <v>2012</v>
      </c>
      <c r="F31" s="352">
        <v>900</v>
      </c>
      <c r="G31" s="352">
        <v>90001</v>
      </c>
      <c r="H31" s="352">
        <v>6050</v>
      </c>
      <c r="I31" s="361">
        <f>L31+844</f>
        <v>2340844</v>
      </c>
      <c r="J31" s="485">
        <v>2340000</v>
      </c>
      <c r="K31" s="485"/>
      <c r="L31" s="480">
        <f t="shared" si="6"/>
        <v>2340000</v>
      </c>
      <c r="M31" s="362"/>
      <c r="N31" s="363"/>
      <c r="O31" s="363"/>
      <c r="P31" s="363"/>
      <c r="Q31" s="185">
        <f>SUM(L31:P31)</f>
        <v>2340000</v>
      </c>
    </row>
    <row r="32" spans="1:17" s="19" customFormat="1" ht="42.75" customHeight="1" thickBot="1">
      <c r="A32" s="351" t="s">
        <v>262</v>
      </c>
      <c r="B32" s="509" t="s">
        <v>365</v>
      </c>
      <c r="C32" s="508" t="s">
        <v>277</v>
      </c>
      <c r="D32" s="352">
        <v>2012</v>
      </c>
      <c r="E32" s="352">
        <v>2016</v>
      </c>
      <c r="F32" s="352">
        <v>900</v>
      </c>
      <c r="G32" s="352">
        <v>90001</v>
      </c>
      <c r="H32" s="352">
        <v>6050</v>
      </c>
      <c r="I32" s="361">
        <f>Q32</f>
        <v>350000</v>
      </c>
      <c r="J32" s="485">
        <v>50000</v>
      </c>
      <c r="K32" s="485"/>
      <c r="L32" s="480">
        <f t="shared" si="6"/>
        <v>50000</v>
      </c>
      <c r="M32" s="362"/>
      <c r="N32" s="363"/>
      <c r="O32" s="362">
        <v>20000</v>
      </c>
      <c r="P32" s="362">
        <v>280000</v>
      </c>
      <c r="Q32" s="185">
        <f>SUM(L32:P32)</f>
        <v>350000</v>
      </c>
    </row>
    <row r="33" spans="1:17" s="19" customFormat="1" ht="19.5" customHeight="1">
      <c r="A33" s="672" t="s">
        <v>112</v>
      </c>
      <c r="B33" s="673" t="s">
        <v>144</v>
      </c>
      <c r="C33" s="674" t="s">
        <v>145</v>
      </c>
      <c r="D33" s="675" t="s">
        <v>231</v>
      </c>
      <c r="E33" s="675"/>
      <c r="F33" s="675" t="s">
        <v>146</v>
      </c>
      <c r="G33" s="675"/>
      <c r="H33" s="675"/>
      <c r="I33" s="676" t="s">
        <v>147</v>
      </c>
      <c r="J33" s="679" t="s">
        <v>313</v>
      </c>
      <c r="K33" s="679"/>
      <c r="L33" s="679"/>
      <c r="M33" s="679"/>
      <c r="N33" s="679"/>
      <c r="O33" s="679"/>
      <c r="P33" s="679"/>
      <c r="Q33" s="669" t="s">
        <v>148</v>
      </c>
    </row>
    <row r="34" spans="1:17" s="19" customFormat="1" ht="11.25" customHeight="1">
      <c r="A34" s="655"/>
      <c r="B34" s="659"/>
      <c r="C34" s="662"/>
      <c r="D34" s="665"/>
      <c r="E34" s="665"/>
      <c r="F34" s="665"/>
      <c r="G34" s="665"/>
      <c r="H34" s="665"/>
      <c r="I34" s="643"/>
      <c r="J34" s="670">
        <v>2012</v>
      </c>
      <c r="K34" s="671"/>
      <c r="L34" s="671"/>
      <c r="M34" s="642">
        <v>2013</v>
      </c>
      <c r="N34" s="642">
        <v>2014</v>
      </c>
      <c r="O34" s="642">
        <v>2015</v>
      </c>
      <c r="P34" s="642">
        <v>2016</v>
      </c>
      <c r="Q34" s="648"/>
    </row>
    <row r="35" spans="1:17" s="19" customFormat="1" ht="9.75" customHeight="1">
      <c r="A35" s="656"/>
      <c r="B35" s="660"/>
      <c r="C35" s="663"/>
      <c r="D35" s="642" t="s">
        <v>149</v>
      </c>
      <c r="E35" s="642" t="s">
        <v>150</v>
      </c>
      <c r="F35" s="667" t="s">
        <v>151</v>
      </c>
      <c r="G35" s="667" t="s">
        <v>152</v>
      </c>
      <c r="H35" s="667" t="s">
        <v>153</v>
      </c>
      <c r="I35" s="644"/>
      <c r="J35" s="670"/>
      <c r="K35" s="671"/>
      <c r="L35" s="671"/>
      <c r="M35" s="643"/>
      <c r="N35" s="643"/>
      <c r="O35" s="643"/>
      <c r="P35" s="643"/>
      <c r="Q35" s="649"/>
    </row>
    <row r="36" spans="1:17" s="19" customFormat="1" ht="20.25" customHeight="1" thickBot="1">
      <c r="A36" s="657"/>
      <c r="B36" s="645"/>
      <c r="C36" s="645"/>
      <c r="D36" s="645"/>
      <c r="E36" s="645"/>
      <c r="F36" s="645"/>
      <c r="G36" s="645"/>
      <c r="H36" s="645"/>
      <c r="I36" s="645"/>
      <c r="J36" s="478" t="s">
        <v>310</v>
      </c>
      <c r="K36" s="478" t="s">
        <v>311</v>
      </c>
      <c r="L36" s="478" t="s">
        <v>312</v>
      </c>
      <c r="M36" s="653"/>
      <c r="N36" s="653"/>
      <c r="O36" s="653"/>
      <c r="P36" s="653"/>
      <c r="Q36" s="650"/>
    </row>
    <row r="37" spans="1:17" s="19" customFormat="1" ht="47.25" customHeight="1">
      <c r="A37" s="351" t="s">
        <v>267</v>
      </c>
      <c r="B37" s="367" t="s">
        <v>366</v>
      </c>
      <c r="C37" s="497" t="s">
        <v>277</v>
      </c>
      <c r="D37" s="352">
        <v>2012</v>
      </c>
      <c r="E37" s="352">
        <v>2016</v>
      </c>
      <c r="F37" s="352">
        <v>900</v>
      </c>
      <c r="G37" s="352">
        <v>90001</v>
      </c>
      <c r="H37" s="352">
        <v>6050</v>
      </c>
      <c r="I37" s="361">
        <f>Q37</f>
        <v>350000</v>
      </c>
      <c r="J37" s="485">
        <v>50000</v>
      </c>
      <c r="K37" s="485"/>
      <c r="L37" s="480">
        <f t="shared" si="6"/>
        <v>50000</v>
      </c>
      <c r="M37" s="362"/>
      <c r="N37" s="363"/>
      <c r="O37" s="362">
        <v>20000</v>
      </c>
      <c r="P37" s="362">
        <v>280000</v>
      </c>
      <c r="Q37" s="185">
        <f>SUM(L37:P37)</f>
        <v>350000</v>
      </c>
    </row>
    <row r="38" spans="1:19" s="38" customFormat="1" ht="30.75" customHeight="1">
      <c r="A38" s="382" t="s">
        <v>171</v>
      </c>
      <c r="B38" s="383" t="s">
        <v>172</v>
      </c>
      <c r="C38" s="346" t="s">
        <v>162</v>
      </c>
      <c r="D38" s="346">
        <v>2009</v>
      </c>
      <c r="E38" s="346">
        <v>2015</v>
      </c>
      <c r="F38" s="680" t="s">
        <v>235</v>
      </c>
      <c r="G38" s="680"/>
      <c r="H38" s="680"/>
      <c r="I38" s="187">
        <f aca="true" t="shared" si="8" ref="I38:Q38">SUM(I39:I42,I43:I49)</f>
        <v>14109061</v>
      </c>
      <c r="J38" s="187">
        <f t="shared" si="8"/>
        <v>2499285</v>
      </c>
      <c r="K38" s="187">
        <f t="shared" si="8"/>
        <v>-24000</v>
      </c>
      <c r="L38" s="187">
        <f t="shared" si="8"/>
        <v>2475285</v>
      </c>
      <c r="M38" s="187">
        <f t="shared" si="8"/>
        <v>5945000</v>
      </c>
      <c r="N38" s="187">
        <f t="shared" si="8"/>
        <v>2600000</v>
      </c>
      <c r="O38" s="187">
        <f t="shared" si="8"/>
        <v>2800000</v>
      </c>
      <c r="P38" s="187">
        <f t="shared" si="8"/>
        <v>0</v>
      </c>
      <c r="Q38" s="187">
        <f t="shared" si="8"/>
        <v>13820285</v>
      </c>
      <c r="R38" s="44">
        <f>SUM(L38:P38)</f>
        <v>13820285</v>
      </c>
      <c r="S38" s="44">
        <f>R38-Q38</f>
        <v>0</v>
      </c>
    </row>
    <row r="39" spans="1:19" s="38" customFormat="1" ht="48" customHeight="1">
      <c r="A39" s="167" t="s">
        <v>173</v>
      </c>
      <c r="B39" s="214" t="s">
        <v>196</v>
      </c>
      <c r="C39" s="373" t="s">
        <v>175</v>
      </c>
      <c r="D39" s="373">
        <v>2012</v>
      </c>
      <c r="E39" s="373">
        <v>2014</v>
      </c>
      <c r="F39" s="373">
        <v>700</v>
      </c>
      <c r="G39" s="373">
        <v>70005</v>
      </c>
      <c r="H39" s="373">
        <v>6050</v>
      </c>
      <c r="I39" s="55">
        <f>L39+M39+N39</f>
        <v>2542000</v>
      </c>
      <c r="J39" s="486">
        <v>97000</v>
      </c>
      <c r="K39" s="486"/>
      <c r="L39" s="480">
        <f t="shared" si="6"/>
        <v>97000</v>
      </c>
      <c r="M39" s="55">
        <v>445000</v>
      </c>
      <c r="N39" s="170">
        <v>2000000</v>
      </c>
      <c r="O39" s="374">
        <v>0</v>
      </c>
      <c r="P39" s="374">
        <v>0</v>
      </c>
      <c r="Q39" s="159">
        <f>SUM(L39:P39)</f>
        <v>2542000</v>
      </c>
      <c r="R39" s="44"/>
      <c r="S39" s="44"/>
    </row>
    <row r="40" spans="1:18" s="38" customFormat="1" ht="42.75" customHeight="1">
      <c r="A40" s="197" t="s">
        <v>176</v>
      </c>
      <c r="B40" s="452" t="s">
        <v>230</v>
      </c>
      <c r="C40" s="462" t="s">
        <v>175</v>
      </c>
      <c r="D40" s="462">
        <v>2010</v>
      </c>
      <c r="E40" s="462">
        <v>2013</v>
      </c>
      <c r="F40" s="171">
        <v>852</v>
      </c>
      <c r="G40" s="171">
        <v>85219</v>
      </c>
      <c r="H40" s="171">
        <v>6050</v>
      </c>
      <c r="I40" s="172">
        <f>L40+M40+70070</f>
        <v>1370070</v>
      </c>
      <c r="J40" s="482">
        <v>800000</v>
      </c>
      <c r="K40" s="482"/>
      <c r="L40" s="480">
        <f t="shared" si="6"/>
        <v>800000</v>
      </c>
      <c r="M40" s="174">
        <v>500000</v>
      </c>
      <c r="N40" s="174"/>
      <c r="O40" s="174"/>
      <c r="P40" s="174"/>
      <c r="Q40" s="159">
        <f>SUM(L40:P40)</f>
        <v>1300000</v>
      </c>
      <c r="R40" s="44"/>
    </row>
    <row r="41" spans="1:18" s="38" customFormat="1" ht="39" customHeight="1">
      <c r="A41" s="167" t="s">
        <v>177</v>
      </c>
      <c r="B41" s="368" t="s">
        <v>252</v>
      </c>
      <c r="C41" s="373" t="s">
        <v>175</v>
      </c>
      <c r="D41" s="373">
        <v>2011</v>
      </c>
      <c r="E41" s="373">
        <v>2012</v>
      </c>
      <c r="F41" s="373">
        <v>900</v>
      </c>
      <c r="G41" s="373">
        <v>90015</v>
      </c>
      <c r="H41" s="373">
        <v>6050</v>
      </c>
      <c r="I41" s="55">
        <f>L41+9645</f>
        <v>151645</v>
      </c>
      <c r="J41" s="486">
        <v>142000</v>
      </c>
      <c r="K41" s="486"/>
      <c r="L41" s="480">
        <f t="shared" si="6"/>
        <v>142000</v>
      </c>
      <c r="M41" s="170"/>
      <c r="N41" s="374">
        <v>0</v>
      </c>
      <c r="O41" s="374">
        <v>0</v>
      </c>
      <c r="P41" s="374">
        <v>0</v>
      </c>
      <c r="Q41" s="159">
        <f>SUM(L41:P41)</f>
        <v>142000</v>
      </c>
      <c r="R41" s="44"/>
    </row>
    <row r="42" spans="1:18" s="38" customFormat="1" ht="44.25" customHeight="1">
      <c r="A42" s="190" t="s">
        <v>179</v>
      </c>
      <c r="B42" s="391" t="s">
        <v>367</v>
      </c>
      <c r="C42" s="168" t="s">
        <v>175</v>
      </c>
      <c r="D42" s="168">
        <v>2012</v>
      </c>
      <c r="E42" s="168">
        <v>2013</v>
      </c>
      <c r="F42" s="168">
        <v>900</v>
      </c>
      <c r="G42" s="168">
        <v>90015</v>
      </c>
      <c r="H42" s="168">
        <v>6050</v>
      </c>
      <c r="I42" s="188">
        <f>Q42</f>
        <v>0</v>
      </c>
      <c r="J42" s="487">
        <v>9000</v>
      </c>
      <c r="K42" s="487">
        <v>-9000</v>
      </c>
      <c r="L42" s="480">
        <f t="shared" si="6"/>
        <v>0</v>
      </c>
      <c r="M42" s="357"/>
      <c r="N42" s="189">
        <v>0</v>
      </c>
      <c r="O42" s="189">
        <v>0</v>
      </c>
      <c r="P42" s="189">
        <v>0</v>
      </c>
      <c r="Q42" s="159">
        <f>SUM(L42:P42)</f>
        <v>0</v>
      </c>
      <c r="R42" s="44"/>
    </row>
    <row r="43" spans="1:18" s="38" customFormat="1" ht="41.25" customHeight="1">
      <c r="A43" s="167" t="s">
        <v>232</v>
      </c>
      <c r="B43" s="214" t="s">
        <v>382</v>
      </c>
      <c r="C43" s="373" t="s">
        <v>175</v>
      </c>
      <c r="D43" s="373">
        <v>2012</v>
      </c>
      <c r="E43" s="373">
        <v>2013</v>
      </c>
      <c r="F43" s="373">
        <v>900</v>
      </c>
      <c r="G43" s="373">
        <v>90015</v>
      </c>
      <c r="H43" s="373">
        <v>6050</v>
      </c>
      <c r="I43" s="188">
        <f>Q43</f>
        <v>0</v>
      </c>
      <c r="J43" s="486">
        <v>10000</v>
      </c>
      <c r="K43" s="486">
        <v>-10000</v>
      </c>
      <c r="L43" s="486">
        <f aca="true" t="shared" si="9" ref="L43:L54">J43+K43</f>
        <v>0</v>
      </c>
      <c r="M43" s="170"/>
      <c r="N43" s="374">
        <v>0</v>
      </c>
      <c r="O43" s="374">
        <v>0</v>
      </c>
      <c r="P43" s="374">
        <v>0</v>
      </c>
      <c r="Q43" s="159">
        <f aca="true" t="shared" si="10" ref="Q43:Q49">SUM(L43:P43)</f>
        <v>0</v>
      </c>
      <c r="R43" s="44"/>
    </row>
    <row r="44" spans="1:18" s="38" customFormat="1" ht="40.5" customHeight="1">
      <c r="A44" s="167" t="s">
        <v>233</v>
      </c>
      <c r="B44" s="370" t="s">
        <v>368</v>
      </c>
      <c r="C44" s="373" t="s">
        <v>175</v>
      </c>
      <c r="D44" s="373">
        <v>2012</v>
      </c>
      <c r="E44" s="373">
        <v>2013</v>
      </c>
      <c r="F44" s="373">
        <v>900</v>
      </c>
      <c r="G44" s="373">
        <v>90015</v>
      </c>
      <c r="H44" s="373">
        <v>6050</v>
      </c>
      <c r="I44" s="188">
        <f>Q44</f>
        <v>0</v>
      </c>
      <c r="J44" s="486">
        <v>5000</v>
      </c>
      <c r="K44" s="486">
        <v>-5000</v>
      </c>
      <c r="L44" s="486">
        <f t="shared" si="9"/>
        <v>0</v>
      </c>
      <c r="M44" s="170"/>
      <c r="N44" s="374">
        <v>0</v>
      </c>
      <c r="O44" s="374">
        <v>0</v>
      </c>
      <c r="P44" s="374">
        <v>0</v>
      </c>
      <c r="Q44" s="159">
        <f t="shared" si="10"/>
        <v>0</v>
      </c>
      <c r="R44" s="44"/>
    </row>
    <row r="45" spans="1:17" s="19" customFormat="1" ht="29.25" customHeight="1">
      <c r="A45" s="167" t="s">
        <v>234</v>
      </c>
      <c r="B45" s="455" t="s">
        <v>174</v>
      </c>
      <c r="C45" s="453" t="s">
        <v>175</v>
      </c>
      <c r="D45" s="352">
        <v>2010</v>
      </c>
      <c r="E45" s="352">
        <v>2014</v>
      </c>
      <c r="F45" s="453">
        <v>921</v>
      </c>
      <c r="G45" s="453">
        <v>92109</v>
      </c>
      <c r="H45" s="453">
        <v>6050</v>
      </c>
      <c r="I45" s="55">
        <f>L45+M45+N45+4880</f>
        <v>1504880</v>
      </c>
      <c r="J45" s="482">
        <v>150000</v>
      </c>
      <c r="K45" s="482"/>
      <c r="L45" s="486">
        <f t="shared" si="9"/>
        <v>150000</v>
      </c>
      <c r="M45" s="173">
        <v>1000000</v>
      </c>
      <c r="N45" s="173">
        <v>350000</v>
      </c>
      <c r="O45" s="174"/>
      <c r="P45" s="174"/>
      <c r="Q45" s="159">
        <f t="shared" si="10"/>
        <v>1500000</v>
      </c>
    </row>
    <row r="46" spans="1:17" s="19" customFormat="1" ht="31.5" customHeight="1">
      <c r="A46" s="167" t="s">
        <v>244</v>
      </c>
      <c r="B46" s="56" t="s">
        <v>378</v>
      </c>
      <c r="C46" s="453" t="s">
        <v>280</v>
      </c>
      <c r="D46" s="453">
        <v>2010</v>
      </c>
      <c r="E46" s="453">
        <v>2012</v>
      </c>
      <c r="F46" s="453">
        <v>921</v>
      </c>
      <c r="G46" s="453">
        <v>92109</v>
      </c>
      <c r="H46" s="453">
        <v>6050</v>
      </c>
      <c r="I46" s="55">
        <f>L46+M46+N46+6541</f>
        <v>42826</v>
      </c>
      <c r="J46" s="482">
        <v>36285</v>
      </c>
      <c r="K46" s="482"/>
      <c r="L46" s="486">
        <f t="shared" si="9"/>
        <v>36285</v>
      </c>
      <c r="M46" s="173"/>
      <c r="N46" s="173"/>
      <c r="O46" s="174"/>
      <c r="P46" s="174"/>
      <c r="Q46" s="159">
        <f t="shared" si="10"/>
        <v>36285</v>
      </c>
    </row>
    <row r="47" spans="1:17" s="19" customFormat="1" ht="33.75" customHeight="1">
      <c r="A47" s="167" t="s">
        <v>245</v>
      </c>
      <c r="B47" s="56" t="s">
        <v>178</v>
      </c>
      <c r="C47" s="453" t="s">
        <v>175</v>
      </c>
      <c r="D47" s="453">
        <v>2009</v>
      </c>
      <c r="E47" s="453">
        <v>2015</v>
      </c>
      <c r="F47" s="453">
        <v>921</v>
      </c>
      <c r="G47" s="453">
        <v>92109</v>
      </c>
      <c r="H47" s="453">
        <v>6050</v>
      </c>
      <c r="I47" s="55">
        <f>O47+132980</f>
        <v>2932980</v>
      </c>
      <c r="J47" s="487"/>
      <c r="K47" s="487"/>
      <c r="L47" s="486">
        <f t="shared" si="9"/>
        <v>0</v>
      </c>
      <c r="M47" s="188"/>
      <c r="N47" s="189"/>
      <c r="O47" s="357">
        <v>2800000</v>
      </c>
      <c r="P47" s="189"/>
      <c r="Q47" s="159">
        <f t="shared" si="10"/>
        <v>2800000</v>
      </c>
    </row>
    <row r="48" spans="1:17" s="19" customFormat="1" ht="33.75" customHeight="1">
      <c r="A48" s="167" t="s">
        <v>253</v>
      </c>
      <c r="B48" s="56" t="s">
        <v>180</v>
      </c>
      <c r="C48" s="523" t="s">
        <v>175</v>
      </c>
      <c r="D48" s="523">
        <v>2010</v>
      </c>
      <c r="E48" s="523">
        <v>2014</v>
      </c>
      <c r="F48" s="523">
        <v>921</v>
      </c>
      <c r="G48" s="523">
        <v>92109</v>
      </c>
      <c r="H48" s="523">
        <v>6050</v>
      </c>
      <c r="I48" s="55">
        <f>L48+M48+N48+64660</f>
        <v>1964660</v>
      </c>
      <c r="J48" s="482">
        <v>150000</v>
      </c>
      <c r="K48" s="482"/>
      <c r="L48" s="486">
        <f>J48+K48</f>
        <v>150000</v>
      </c>
      <c r="M48" s="173">
        <v>1500000</v>
      </c>
      <c r="N48" s="173">
        <v>250000</v>
      </c>
      <c r="O48" s="174"/>
      <c r="P48" s="174"/>
      <c r="Q48" s="159">
        <f>SUM(L48:P48)</f>
        <v>1900000</v>
      </c>
    </row>
    <row r="49" spans="1:17" s="19" customFormat="1" ht="25.5" customHeight="1">
      <c r="A49" s="167" t="s">
        <v>369</v>
      </c>
      <c r="B49" s="56" t="s">
        <v>371</v>
      </c>
      <c r="C49" s="523" t="s">
        <v>370</v>
      </c>
      <c r="D49" s="453">
        <v>2012</v>
      </c>
      <c r="E49" s="453">
        <v>2013</v>
      </c>
      <c r="F49" s="453">
        <v>921</v>
      </c>
      <c r="G49" s="453">
        <v>92109</v>
      </c>
      <c r="H49" s="453">
        <v>6050</v>
      </c>
      <c r="I49" s="55">
        <f>L49+M49+N49</f>
        <v>3600000</v>
      </c>
      <c r="J49" s="482">
        <v>1100000</v>
      </c>
      <c r="K49" s="482"/>
      <c r="L49" s="486">
        <f t="shared" si="9"/>
        <v>1100000</v>
      </c>
      <c r="M49" s="173">
        <v>2500000</v>
      </c>
      <c r="N49" s="174"/>
      <c r="O49" s="174"/>
      <c r="P49" s="174"/>
      <c r="Q49" s="159">
        <f t="shared" si="10"/>
        <v>3600000</v>
      </c>
    </row>
    <row r="50" spans="1:18" s="38" customFormat="1" ht="27" customHeight="1">
      <c r="A50" s="379" t="s">
        <v>181</v>
      </c>
      <c r="B50" s="380" t="s">
        <v>182</v>
      </c>
      <c r="C50" s="372" t="s">
        <v>162</v>
      </c>
      <c r="D50" s="372">
        <v>2006</v>
      </c>
      <c r="E50" s="372">
        <v>2015</v>
      </c>
      <c r="F50" s="372"/>
      <c r="G50" s="372"/>
      <c r="H50" s="372"/>
      <c r="I50" s="187">
        <f aca="true" t="shared" si="11" ref="I50:P50">I51+I64+I65</f>
        <v>98171085</v>
      </c>
      <c r="J50" s="381">
        <f t="shared" si="11"/>
        <v>27287000</v>
      </c>
      <c r="K50" s="381">
        <f t="shared" si="11"/>
        <v>110000</v>
      </c>
      <c r="L50" s="381">
        <f t="shared" si="9"/>
        <v>27397000</v>
      </c>
      <c r="M50" s="381">
        <f t="shared" si="11"/>
        <v>26700000</v>
      </c>
      <c r="N50" s="381">
        <f t="shared" si="11"/>
        <v>11400000</v>
      </c>
      <c r="O50" s="381">
        <f t="shared" si="11"/>
        <v>29000000</v>
      </c>
      <c r="P50" s="381">
        <f t="shared" si="11"/>
        <v>0</v>
      </c>
      <c r="Q50" s="381">
        <f>Q51+Q64+Q65</f>
        <v>94497000</v>
      </c>
      <c r="R50" s="44">
        <f>SUM(L50:P50)</f>
        <v>94497000</v>
      </c>
    </row>
    <row r="51" spans="1:18" s="19" customFormat="1" ht="48" customHeight="1" thickBot="1">
      <c r="A51" s="190" t="s">
        <v>183</v>
      </c>
      <c r="B51" s="186" t="s">
        <v>227</v>
      </c>
      <c r="C51" s="376" t="s">
        <v>165</v>
      </c>
      <c r="D51" s="377">
        <v>2006</v>
      </c>
      <c r="E51" s="377">
        <v>2015</v>
      </c>
      <c r="F51" s="684" t="s">
        <v>166</v>
      </c>
      <c r="G51" s="684"/>
      <c r="H51" s="684"/>
      <c r="I51" s="378">
        <f>SUM(I52:I58)</f>
        <v>95771024</v>
      </c>
      <c r="J51" s="518">
        <f aca="true" t="shared" si="12" ref="J51:Q51">SUM(J52:J58)</f>
        <v>26760000</v>
      </c>
      <c r="K51" s="518"/>
      <c r="L51" s="518">
        <f t="shared" si="9"/>
        <v>26760000</v>
      </c>
      <c r="M51" s="378">
        <f t="shared" si="12"/>
        <v>25000000</v>
      </c>
      <c r="N51" s="378">
        <f t="shared" si="12"/>
        <v>11400000</v>
      </c>
      <c r="O51" s="378">
        <f t="shared" si="12"/>
        <v>29000000</v>
      </c>
      <c r="P51" s="378">
        <f t="shared" si="12"/>
        <v>0</v>
      </c>
      <c r="Q51" s="378">
        <f t="shared" si="12"/>
        <v>92160000</v>
      </c>
      <c r="R51" s="30">
        <f>Q51+Q64+Q65</f>
        <v>94497000</v>
      </c>
    </row>
    <row r="52" spans="1:17" s="19" customFormat="1" ht="25.5" customHeight="1">
      <c r="A52" s="191"/>
      <c r="B52" s="340" t="s">
        <v>184</v>
      </c>
      <c r="C52" s="192"/>
      <c r="D52" s="192"/>
      <c r="E52" s="192"/>
      <c r="F52" s="192">
        <v>801</v>
      </c>
      <c r="G52" s="192">
        <v>80101</v>
      </c>
      <c r="H52" s="192">
        <v>6050</v>
      </c>
      <c r="I52" s="193">
        <f>L52+M52+3611024</f>
        <v>24811024</v>
      </c>
      <c r="J52" s="519">
        <v>13760000</v>
      </c>
      <c r="K52" s="519"/>
      <c r="L52" s="519">
        <f t="shared" si="9"/>
        <v>13760000</v>
      </c>
      <c r="M52" s="194">
        <v>7440000</v>
      </c>
      <c r="N52" s="195"/>
      <c r="O52" s="195"/>
      <c r="P52" s="195"/>
      <c r="Q52" s="196">
        <f>SUM(L52:P52)</f>
        <v>21200000</v>
      </c>
    </row>
    <row r="53" spans="1:17" s="19" customFormat="1" ht="25.5" customHeight="1">
      <c r="A53" s="197"/>
      <c r="B53" s="341" t="s">
        <v>306</v>
      </c>
      <c r="C53" s="176"/>
      <c r="D53" s="176"/>
      <c r="E53" s="176"/>
      <c r="F53" s="176"/>
      <c r="G53" s="176"/>
      <c r="H53" s="176">
        <v>6058</v>
      </c>
      <c r="I53" s="177">
        <f>L53</f>
        <v>10000000</v>
      </c>
      <c r="J53" s="483">
        <v>10000000</v>
      </c>
      <c r="K53" s="483"/>
      <c r="L53" s="483">
        <f t="shared" si="9"/>
        <v>10000000</v>
      </c>
      <c r="M53" s="178"/>
      <c r="N53" s="179"/>
      <c r="O53" s="179"/>
      <c r="P53" s="179"/>
      <c r="Q53" s="180">
        <f aca="true" t="shared" si="13" ref="Q53:Q65">SUM(L53:P53)</f>
        <v>10000000</v>
      </c>
    </row>
    <row r="54" spans="1:17" s="19" customFormat="1" ht="25.5" customHeight="1" thickBot="1">
      <c r="A54" s="198"/>
      <c r="B54" s="199"/>
      <c r="C54" s="200"/>
      <c r="D54" s="200"/>
      <c r="E54" s="200"/>
      <c r="F54" s="200"/>
      <c r="G54" s="200"/>
      <c r="H54" s="200">
        <v>6059</v>
      </c>
      <c r="I54" s="201">
        <f>L54+M54</f>
        <v>20560000</v>
      </c>
      <c r="J54" s="520">
        <v>3000000</v>
      </c>
      <c r="K54" s="520"/>
      <c r="L54" s="520">
        <f t="shared" si="9"/>
        <v>3000000</v>
      </c>
      <c r="M54" s="202">
        <v>17560000</v>
      </c>
      <c r="N54" s="203"/>
      <c r="O54" s="203"/>
      <c r="P54" s="203"/>
      <c r="Q54" s="204">
        <f t="shared" si="13"/>
        <v>20560000</v>
      </c>
    </row>
    <row r="55" spans="1:17" s="19" customFormat="1" ht="20.25" customHeight="1">
      <c r="A55" s="191"/>
      <c r="B55" s="454" t="s">
        <v>185</v>
      </c>
      <c r="C55" s="205"/>
      <c r="D55" s="205"/>
      <c r="E55" s="205"/>
      <c r="F55" s="205"/>
      <c r="G55" s="205"/>
      <c r="H55" s="205">
        <v>6058</v>
      </c>
      <c r="I55" s="206">
        <f>SUM(J55:O55)</f>
        <v>4000000</v>
      </c>
      <c r="J55" s="521"/>
      <c r="K55" s="521"/>
      <c r="L55" s="521"/>
      <c r="M55" s="206"/>
      <c r="N55" s="205"/>
      <c r="O55" s="206">
        <v>4000000</v>
      </c>
      <c r="P55" s="207"/>
      <c r="Q55" s="196">
        <f t="shared" si="13"/>
        <v>4000000</v>
      </c>
    </row>
    <row r="56" spans="1:17" s="19" customFormat="1" ht="25.5" customHeight="1" thickBot="1">
      <c r="A56" s="197"/>
      <c r="B56" s="454" t="s">
        <v>281</v>
      </c>
      <c r="C56" s="208"/>
      <c r="D56" s="208"/>
      <c r="E56" s="208"/>
      <c r="F56" s="208"/>
      <c r="G56" s="208"/>
      <c r="H56" s="208">
        <v>6059</v>
      </c>
      <c r="I56" s="209">
        <f>SUM(J56:O56)</f>
        <v>16400000</v>
      </c>
      <c r="J56" s="522"/>
      <c r="K56" s="522"/>
      <c r="L56" s="522"/>
      <c r="M56" s="209"/>
      <c r="N56" s="209">
        <v>6400000</v>
      </c>
      <c r="O56" s="209">
        <v>10000000</v>
      </c>
      <c r="P56" s="210"/>
      <c r="Q56" s="204">
        <f t="shared" si="13"/>
        <v>16400000</v>
      </c>
    </row>
    <row r="57" spans="1:17" s="19" customFormat="1" ht="25.5" customHeight="1">
      <c r="A57" s="191"/>
      <c r="B57" s="465" t="s">
        <v>186</v>
      </c>
      <c r="C57" s="192"/>
      <c r="D57" s="192"/>
      <c r="E57" s="192"/>
      <c r="F57" s="192"/>
      <c r="G57" s="192"/>
      <c r="H57" s="192">
        <v>6058</v>
      </c>
      <c r="I57" s="193">
        <f>SUM(J57:O57)</f>
        <v>5000000</v>
      </c>
      <c r="J57" s="519"/>
      <c r="K57" s="519"/>
      <c r="L57" s="519"/>
      <c r="M57" s="193"/>
      <c r="N57" s="193"/>
      <c r="O57" s="193">
        <v>5000000</v>
      </c>
      <c r="P57" s="195"/>
      <c r="Q57" s="196">
        <f t="shared" si="13"/>
        <v>5000000</v>
      </c>
    </row>
    <row r="58" spans="1:17" s="19" customFormat="1" ht="24.75" customHeight="1" thickBot="1">
      <c r="A58" s="198"/>
      <c r="B58" s="199" t="s">
        <v>282</v>
      </c>
      <c r="C58" s="200"/>
      <c r="D58" s="200"/>
      <c r="E58" s="200"/>
      <c r="F58" s="200"/>
      <c r="G58" s="200"/>
      <c r="H58" s="200">
        <v>6059</v>
      </c>
      <c r="I58" s="201">
        <f>SUM(J58:O58)</f>
        <v>15000000</v>
      </c>
      <c r="J58" s="520"/>
      <c r="K58" s="520"/>
      <c r="L58" s="520"/>
      <c r="M58" s="201"/>
      <c r="N58" s="201">
        <v>5000000</v>
      </c>
      <c r="O58" s="201">
        <v>10000000</v>
      </c>
      <c r="P58" s="203"/>
      <c r="Q58" s="204">
        <f t="shared" si="13"/>
        <v>15000000</v>
      </c>
    </row>
    <row r="59" spans="1:17" s="19" customFormat="1" ht="24.75" customHeight="1">
      <c r="A59" s="392"/>
      <c r="B59" s="524"/>
      <c r="C59" s="393"/>
      <c r="D59" s="393"/>
      <c r="E59" s="393"/>
      <c r="F59" s="393"/>
      <c r="G59" s="393"/>
      <c r="H59" s="393"/>
      <c r="I59" s="394"/>
      <c r="J59" s="525"/>
      <c r="K59" s="525"/>
      <c r="L59" s="525"/>
      <c r="M59" s="394"/>
      <c r="N59" s="394"/>
      <c r="O59" s="394"/>
      <c r="P59" s="526"/>
      <c r="Q59" s="395"/>
    </row>
    <row r="60" spans="1:17" s="19" customFormat="1" ht="17.25" customHeight="1">
      <c r="A60" s="654" t="s">
        <v>112</v>
      </c>
      <c r="B60" s="658" t="s">
        <v>144</v>
      </c>
      <c r="C60" s="661" t="s">
        <v>145</v>
      </c>
      <c r="D60" s="664" t="s">
        <v>231</v>
      </c>
      <c r="E60" s="664"/>
      <c r="F60" s="664" t="s">
        <v>146</v>
      </c>
      <c r="G60" s="664"/>
      <c r="H60" s="664"/>
      <c r="I60" s="642" t="s">
        <v>147</v>
      </c>
      <c r="J60" s="646" t="s">
        <v>313</v>
      </c>
      <c r="K60" s="646"/>
      <c r="L60" s="646"/>
      <c r="M60" s="646"/>
      <c r="N60" s="646"/>
      <c r="O60" s="646"/>
      <c r="P60" s="646"/>
      <c r="Q60" s="647" t="s">
        <v>148</v>
      </c>
    </row>
    <row r="61" spans="1:17" s="19" customFormat="1" ht="3" customHeight="1">
      <c r="A61" s="655"/>
      <c r="B61" s="659"/>
      <c r="C61" s="662"/>
      <c r="D61" s="665"/>
      <c r="E61" s="665"/>
      <c r="F61" s="665"/>
      <c r="G61" s="665"/>
      <c r="H61" s="665"/>
      <c r="I61" s="643"/>
      <c r="J61" s="651">
        <v>2012</v>
      </c>
      <c r="K61" s="652"/>
      <c r="L61" s="652"/>
      <c r="M61" s="642">
        <v>2013</v>
      </c>
      <c r="N61" s="642">
        <v>2014</v>
      </c>
      <c r="O61" s="642">
        <v>2015</v>
      </c>
      <c r="P61" s="642">
        <v>2016</v>
      </c>
      <c r="Q61" s="648"/>
    </row>
    <row r="62" spans="1:17" s="19" customFormat="1" ht="9" customHeight="1">
      <c r="A62" s="656"/>
      <c r="B62" s="660"/>
      <c r="C62" s="663"/>
      <c r="D62" s="642" t="s">
        <v>149</v>
      </c>
      <c r="E62" s="642" t="s">
        <v>150</v>
      </c>
      <c r="F62" s="667" t="s">
        <v>151</v>
      </c>
      <c r="G62" s="667" t="s">
        <v>152</v>
      </c>
      <c r="H62" s="667" t="s">
        <v>153</v>
      </c>
      <c r="I62" s="644"/>
      <c r="J62" s="651"/>
      <c r="K62" s="652"/>
      <c r="L62" s="652"/>
      <c r="M62" s="643"/>
      <c r="N62" s="643"/>
      <c r="O62" s="643"/>
      <c r="P62" s="643"/>
      <c r="Q62" s="649"/>
    </row>
    <row r="63" spans="1:17" s="19" customFormat="1" ht="17.25" customHeight="1" thickBot="1">
      <c r="A63" s="657"/>
      <c r="B63" s="645"/>
      <c r="C63" s="645"/>
      <c r="D63" s="666"/>
      <c r="E63" s="666"/>
      <c r="F63" s="668"/>
      <c r="G63" s="668"/>
      <c r="H63" s="668"/>
      <c r="I63" s="645"/>
      <c r="J63" s="478" t="s">
        <v>310</v>
      </c>
      <c r="K63" s="478" t="s">
        <v>311</v>
      </c>
      <c r="L63" s="478" t="s">
        <v>312</v>
      </c>
      <c r="M63" s="653"/>
      <c r="N63" s="653"/>
      <c r="O63" s="653"/>
      <c r="P63" s="653"/>
      <c r="Q63" s="650"/>
    </row>
    <row r="64" spans="1:17" s="19" customFormat="1" ht="37.5" customHeight="1">
      <c r="A64" s="167" t="s">
        <v>236</v>
      </c>
      <c r="B64" s="214" t="s">
        <v>402</v>
      </c>
      <c r="C64" s="168" t="s">
        <v>165</v>
      </c>
      <c r="D64" s="356">
        <v>2011</v>
      </c>
      <c r="E64" s="356">
        <v>2012</v>
      </c>
      <c r="F64" s="356">
        <v>801</v>
      </c>
      <c r="G64" s="356">
        <v>80101</v>
      </c>
      <c r="H64" s="356">
        <v>6050</v>
      </c>
      <c r="I64" s="55">
        <f>L64+861</f>
        <v>330861</v>
      </c>
      <c r="J64" s="486">
        <v>220000</v>
      </c>
      <c r="K64" s="486">
        <v>110000</v>
      </c>
      <c r="L64" s="486">
        <f>J64+K64</f>
        <v>330000</v>
      </c>
      <c r="M64" s="170"/>
      <c r="N64" s="355">
        <v>0</v>
      </c>
      <c r="O64" s="355">
        <v>0</v>
      </c>
      <c r="P64" s="355">
        <v>0</v>
      </c>
      <c r="Q64" s="510">
        <f t="shared" si="13"/>
        <v>330000</v>
      </c>
    </row>
    <row r="65" spans="1:17" s="19" customFormat="1" ht="30" customHeight="1">
      <c r="A65" s="167" t="s">
        <v>237</v>
      </c>
      <c r="B65" s="214" t="s">
        <v>197</v>
      </c>
      <c r="C65" s="513" t="s">
        <v>165</v>
      </c>
      <c r="D65" s="513">
        <v>2010</v>
      </c>
      <c r="E65" s="513">
        <v>2013</v>
      </c>
      <c r="F65" s="513">
        <v>801</v>
      </c>
      <c r="G65" s="513">
        <v>80104</v>
      </c>
      <c r="H65" s="513">
        <v>6050</v>
      </c>
      <c r="I65" s="55">
        <f>L65+M65+62200</f>
        <v>2069200</v>
      </c>
      <c r="J65" s="486">
        <v>307000</v>
      </c>
      <c r="K65" s="486"/>
      <c r="L65" s="486">
        <f>J65+K65</f>
        <v>307000</v>
      </c>
      <c r="M65" s="170">
        <v>1700000</v>
      </c>
      <c r="N65" s="512">
        <v>0</v>
      </c>
      <c r="O65" s="512">
        <v>0</v>
      </c>
      <c r="P65" s="512">
        <v>0</v>
      </c>
      <c r="Q65" s="159">
        <f t="shared" si="13"/>
        <v>2007000</v>
      </c>
    </row>
    <row r="66" spans="1:25" s="42" customFormat="1" ht="30.75" customHeight="1">
      <c r="A66" s="160" t="s">
        <v>115</v>
      </c>
      <c r="B66" s="161" t="s">
        <v>187</v>
      </c>
      <c r="C66" s="358"/>
      <c r="D66" s="358" t="s">
        <v>81</v>
      </c>
      <c r="E66" s="358" t="s">
        <v>81</v>
      </c>
      <c r="F66" s="358"/>
      <c r="G66" s="358"/>
      <c r="H66" s="358"/>
      <c r="I66" s="163">
        <f aca="true" t="shared" si="14" ref="I66:N66">I67</f>
        <v>24002525</v>
      </c>
      <c r="J66" s="163">
        <f t="shared" si="14"/>
        <v>9262447</v>
      </c>
      <c r="K66" s="163">
        <f t="shared" si="14"/>
        <v>-369705</v>
      </c>
      <c r="L66" s="163">
        <f t="shared" si="14"/>
        <v>8892742</v>
      </c>
      <c r="M66" s="163">
        <f t="shared" si="14"/>
        <v>10214245</v>
      </c>
      <c r="N66" s="466">
        <f t="shared" si="14"/>
        <v>1866000</v>
      </c>
      <c r="O66" s="359">
        <v>0</v>
      </c>
      <c r="P66" s="359">
        <v>0</v>
      </c>
      <c r="Q66" s="360">
        <f>SUM(L66:P66)</f>
        <v>20972987</v>
      </c>
      <c r="R66" s="19"/>
      <c r="S66" s="19"/>
      <c r="T66" s="19"/>
      <c r="U66" s="19"/>
      <c r="V66" s="19"/>
      <c r="W66" s="19"/>
      <c r="X66" s="19"/>
      <c r="Y66" s="19"/>
    </row>
    <row r="67" spans="1:18" s="45" customFormat="1" ht="18.75" customHeight="1">
      <c r="A67" s="211"/>
      <c r="B67" s="212" t="s">
        <v>156</v>
      </c>
      <c r="C67" s="213"/>
      <c r="D67" s="213" t="s">
        <v>81</v>
      </c>
      <c r="E67" s="213" t="s">
        <v>81</v>
      </c>
      <c r="F67" s="213"/>
      <c r="G67" s="213"/>
      <c r="H67" s="213"/>
      <c r="I67" s="170">
        <f>I68</f>
        <v>24002525</v>
      </c>
      <c r="J67" s="480">
        <f aca="true" t="shared" si="15" ref="J67:Q67">J68</f>
        <v>9262447</v>
      </c>
      <c r="K67" s="480">
        <f t="shared" si="15"/>
        <v>-369705</v>
      </c>
      <c r="L67" s="480">
        <f t="shared" si="15"/>
        <v>8892742</v>
      </c>
      <c r="M67" s="170">
        <f t="shared" si="15"/>
        <v>10214245</v>
      </c>
      <c r="N67" s="170">
        <f t="shared" si="15"/>
        <v>1866000</v>
      </c>
      <c r="O67" s="170">
        <f t="shared" si="15"/>
        <v>86000</v>
      </c>
      <c r="P67" s="170">
        <f t="shared" si="15"/>
        <v>650000</v>
      </c>
      <c r="Q67" s="170">
        <f t="shared" si="15"/>
        <v>21708987</v>
      </c>
      <c r="R67" s="343"/>
    </row>
    <row r="68" spans="1:18" s="45" customFormat="1" ht="19.5" customHeight="1">
      <c r="A68" s="388" t="s">
        <v>188</v>
      </c>
      <c r="B68" s="389" t="s">
        <v>189</v>
      </c>
      <c r="C68" s="390" t="s">
        <v>162</v>
      </c>
      <c r="D68" s="372">
        <v>2009</v>
      </c>
      <c r="E68" s="372">
        <v>2016</v>
      </c>
      <c r="F68" s="381"/>
      <c r="G68" s="381"/>
      <c r="H68" s="381"/>
      <c r="I68" s="381">
        <f aca="true" t="shared" si="16" ref="I68:Q68">SUM(I69:I88,I96:I105)</f>
        <v>24002525</v>
      </c>
      <c r="J68" s="381">
        <f t="shared" si="16"/>
        <v>9262447</v>
      </c>
      <c r="K68" s="381">
        <f t="shared" si="16"/>
        <v>-369705</v>
      </c>
      <c r="L68" s="381">
        <f t="shared" si="16"/>
        <v>8892742</v>
      </c>
      <c r="M68" s="381">
        <f t="shared" si="16"/>
        <v>10214245</v>
      </c>
      <c r="N68" s="381">
        <f t="shared" si="16"/>
        <v>1866000</v>
      </c>
      <c r="O68" s="381">
        <f t="shared" si="16"/>
        <v>86000</v>
      </c>
      <c r="P68" s="381">
        <f t="shared" si="16"/>
        <v>650000</v>
      </c>
      <c r="Q68" s="381">
        <f t="shared" si="16"/>
        <v>21708987</v>
      </c>
      <c r="R68" s="343">
        <f>SUM(Q69:Q107)</f>
        <v>22965937</v>
      </c>
    </row>
    <row r="69" spans="1:18" s="45" customFormat="1" ht="30" customHeight="1">
      <c r="A69" s="456" t="s">
        <v>190</v>
      </c>
      <c r="B69" s="457" t="s">
        <v>325</v>
      </c>
      <c r="C69" s="373" t="s">
        <v>175</v>
      </c>
      <c r="D69" s="373">
        <v>2012</v>
      </c>
      <c r="E69" s="373">
        <v>2013</v>
      </c>
      <c r="F69" s="55">
        <v>600</v>
      </c>
      <c r="G69" s="55" t="s">
        <v>191</v>
      </c>
      <c r="H69" s="55">
        <v>6050</v>
      </c>
      <c r="I69" s="55">
        <f>L69+M69</f>
        <v>85000</v>
      </c>
      <c r="J69" s="486">
        <v>10000</v>
      </c>
      <c r="K69" s="486"/>
      <c r="L69" s="486">
        <f>J69+K69</f>
        <v>10000</v>
      </c>
      <c r="M69" s="170">
        <v>75000</v>
      </c>
      <c r="N69" s="170"/>
      <c r="O69" s="170"/>
      <c r="P69" s="170"/>
      <c r="Q69" s="159">
        <f aca="true" t="shared" si="17" ref="Q69:Q88">SUM(L69:P69)</f>
        <v>85000</v>
      </c>
      <c r="R69" s="343">
        <f>L68+M68+N68+O68+P68</f>
        <v>21708987</v>
      </c>
    </row>
    <row r="70" spans="1:18" s="45" customFormat="1" ht="30" customHeight="1">
      <c r="A70" s="456" t="s">
        <v>192</v>
      </c>
      <c r="B70" s="551" t="s">
        <v>393</v>
      </c>
      <c r="C70" s="523" t="s">
        <v>175</v>
      </c>
      <c r="D70" s="523">
        <v>2012</v>
      </c>
      <c r="E70" s="523">
        <v>2013</v>
      </c>
      <c r="F70" s="55">
        <v>600</v>
      </c>
      <c r="G70" s="55">
        <v>60016</v>
      </c>
      <c r="H70" s="55">
        <v>6050</v>
      </c>
      <c r="I70" s="55">
        <f>L70+M70</f>
        <v>85000</v>
      </c>
      <c r="J70" s="486"/>
      <c r="K70" s="486">
        <v>5000</v>
      </c>
      <c r="L70" s="486">
        <f>J70+K70</f>
        <v>5000</v>
      </c>
      <c r="M70" s="170">
        <v>80000</v>
      </c>
      <c r="N70" s="170"/>
      <c r="O70" s="170"/>
      <c r="P70" s="170"/>
      <c r="Q70" s="159">
        <f t="shared" si="17"/>
        <v>85000</v>
      </c>
      <c r="R70" s="343"/>
    </row>
    <row r="71" spans="1:18" s="45" customFormat="1" ht="37.5" customHeight="1">
      <c r="A71" s="456" t="s">
        <v>193</v>
      </c>
      <c r="B71" s="457" t="s">
        <v>372</v>
      </c>
      <c r="C71" s="505" t="s">
        <v>175</v>
      </c>
      <c r="D71" s="505">
        <v>2012</v>
      </c>
      <c r="E71" s="505">
        <v>2013</v>
      </c>
      <c r="F71" s="55">
        <v>600</v>
      </c>
      <c r="G71" s="55" t="s">
        <v>191</v>
      </c>
      <c r="H71" s="55">
        <v>6050</v>
      </c>
      <c r="I71" s="55">
        <f>Q71</f>
        <v>145018</v>
      </c>
      <c r="J71" s="486">
        <v>45018</v>
      </c>
      <c r="K71" s="486"/>
      <c r="L71" s="486">
        <f>J71+K71</f>
        <v>45018</v>
      </c>
      <c r="M71" s="170">
        <v>100000</v>
      </c>
      <c r="N71" s="170"/>
      <c r="O71" s="170"/>
      <c r="P71" s="170"/>
      <c r="Q71" s="159">
        <f t="shared" si="17"/>
        <v>145018</v>
      </c>
      <c r="R71" s="343"/>
    </row>
    <row r="72" spans="1:17" s="45" customFormat="1" ht="30" customHeight="1">
      <c r="A72" s="456" t="s">
        <v>195</v>
      </c>
      <c r="B72" s="458" t="s">
        <v>326</v>
      </c>
      <c r="C72" s="373" t="s">
        <v>175</v>
      </c>
      <c r="D72" s="373">
        <v>2009</v>
      </c>
      <c r="E72" s="373">
        <v>2013</v>
      </c>
      <c r="F72" s="55">
        <v>600</v>
      </c>
      <c r="G72" s="55" t="s">
        <v>191</v>
      </c>
      <c r="H72" s="55">
        <v>6050</v>
      </c>
      <c r="I72" s="55">
        <f>L72+M72+541582</f>
        <v>8736782</v>
      </c>
      <c r="J72" s="486">
        <v>3500000</v>
      </c>
      <c r="K72" s="486"/>
      <c r="L72" s="486">
        <f aca="true" t="shared" si="18" ref="L72:L101">J72+K72</f>
        <v>3500000</v>
      </c>
      <c r="M72" s="55">
        <v>4695200</v>
      </c>
      <c r="N72" s="170"/>
      <c r="O72" s="170"/>
      <c r="P72" s="170"/>
      <c r="Q72" s="159">
        <f t="shared" si="17"/>
        <v>8195200</v>
      </c>
    </row>
    <row r="73" spans="1:17" s="45" customFormat="1" ht="29.25" customHeight="1">
      <c r="A73" s="456" t="s">
        <v>254</v>
      </c>
      <c r="B73" s="459" t="s">
        <v>344</v>
      </c>
      <c r="C73" s="373" t="s">
        <v>175</v>
      </c>
      <c r="D73" s="373">
        <v>2009</v>
      </c>
      <c r="E73" s="373">
        <v>2014</v>
      </c>
      <c r="F73" s="55">
        <v>600</v>
      </c>
      <c r="G73" s="55" t="s">
        <v>191</v>
      </c>
      <c r="H73" s="55">
        <v>6050</v>
      </c>
      <c r="I73" s="55">
        <f>L73+M73+N73+150269</f>
        <v>1060269</v>
      </c>
      <c r="J73" s="486">
        <v>10000</v>
      </c>
      <c r="K73" s="486"/>
      <c r="L73" s="486">
        <f t="shared" si="18"/>
        <v>10000</v>
      </c>
      <c r="M73" s="170">
        <v>200000</v>
      </c>
      <c r="N73" s="170">
        <v>700000</v>
      </c>
      <c r="O73" s="170"/>
      <c r="P73" s="170"/>
      <c r="Q73" s="159">
        <f t="shared" si="17"/>
        <v>910000</v>
      </c>
    </row>
    <row r="74" spans="1:17" s="45" customFormat="1" ht="39" customHeight="1">
      <c r="A74" s="456" t="s">
        <v>246</v>
      </c>
      <c r="B74" s="367" t="s">
        <v>411</v>
      </c>
      <c r="C74" s="373" t="s">
        <v>175</v>
      </c>
      <c r="D74" s="373">
        <v>2009</v>
      </c>
      <c r="E74" s="373">
        <v>2013</v>
      </c>
      <c r="F74" s="55">
        <v>600</v>
      </c>
      <c r="G74" s="55" t="s">
        <v>191</v>
      </c>
      <c r="H74" s="55">
        <v>6050</v>
      </c>
      <c r="I74" s="55">
        <f>L74+M74+22814</f>
        <v>597814</v>
      </c>
      <c r="J74" s="486">
        <v>375000</v>
      </c>
      <c r="K74" s="486">
        <v>-354705</v>
      </c>
      <c r="L74" s="486">
        <f t="shared" si="18"/>
        <v>20295</v>
      </c>
      <c r="M74" s="55">
        <v>554705</v>
      </c>
      <c r="N74" s="170"/>
      <c r="O74" s="170"/>
      <c r="P74" s="170"/>
      <c r="Q74" s="159">
        <f t="shared" si="17"/>
        <v>575000</v>
      </c>
    </row>
    <row r="75" spans="1:17" s="45" customFormat="1" ht="39" customHeight="1">
      <c r="A75" s="456" t="s">
        <v>247</v>
      </c>
      <c r="B75" s="459" t="s">
        <v>403</v>
      </c>
      <c r="C75" s="523" t="s">
        <v>175</v>
      </c>
      <c r="D75" s="523">
        <v>2012</v>
      </c>
      <c r="E75" s="523">
        <v>2013</v>
      </c>
      <c r="F75" s="55">
        <v>600</v>
      </c>
      <c r="G75" s="55" t="s">
        <v>191</v>
      </c>
      <c r="H75" s="55">
        <v>6050</v>
      </c>
      <c r="I75" s="55">
        <f>L75+M75+N75</f>
        <v>55000</v>
      </c>
      <c r="J75" s="486"/>
      <c r="K75" s="486">
        <v>5000</v>
      </c>
      <c r="L75" s="486">
        <f>J75+K75</f>
        <v>5000</v>
      </c>
      <c r="M75" s="170">
        <v>50000</v>
      </c>
      <c r="N75" s="170"/>
      <c r="O75" s="170"/>
      <c r="P75" s="170"/>
      <c r="Q75" s="159">
        <f t="shared" si="17"/>
        <v>55000</v>
      </c>
    </row>
    <row r="76" spans="1:17" s="45" customFormat="1" ht="30" customHeight="1">
      <c r="A76" s="456" t="s">
        <v>255</v>
      </c>
      <c r="B76" s="368" t="s">
        <v>412</v>
      </c>
      <c r="C76" s="453" t="s">
        <v>175</v>
      </c>
      <c r="D76" s="453">
        <v>2012</v>
      </c>
      <c r="E76" s="453">
        <v>2013</v>
      </c>
      <c r="F76" s="55">
        <v>600</v>
      </c>
      <c r="G76" s="55">
        <v>60016</v>
      </c>
      <c r="H76" s="55">
        <v>6050</v>
      </c>
      <c r="I76" s="55">
        <f>L76+M76</f>
        <v>110000</v>
      </c>
      <c r="J76" s="486">
        <v>10000</v>
      </c>
      <c r="K76" s="486"/>
      <c r="L76" s="486">
        <f t="shared" si="18"/>
        <v>10000</v>
      </c>
      <c r="M76" s="55">
        <v>100000</v>
      </c>
      <c r="N76" s="170"/>
      <c r="O76" s="170"/>
      <c r="P76" s="170"/>
      <c r="Q76" s="159">
        <f t="shared" si="17"/>
        <v>110000</v>
      </c>
    </row>
    <row r="77" spans="1:17" s="45" customFormat="1" ht="29.25" customHeight="1">
      <c r="A77" s="456" t="s">
        <v>256</v>
      </c>
      <c r="B77" s="368" t="s">
        <v>394</v>
      </c>
      <c r="C77" s="523" t="s">
        <v>175</v>
      </c>
      <c r="D77" s="523">
        <v>2012</v>
      </c>
      <c r="E77" s="523">
        <v>2013</v>
      </c>
      <c r="F77" s="55">
        <v>600</v>
      </c>
      <c r="G77" s="55">
        <v>60016</v>
      </c>
      <c r="H77" s="55">
        <v>6050</v>
      </c>
      <c r="I77" s="55">
        <f>L77+M77</f>
        <v>75000</v>
      </c>
      <c r="J77" s="486"/>
      <c r="K77" s="486">
        <v>5000</v>
      </c>
      <c r="L77" s="486">
        <f>J77+K77</f>
        <v>5000</v>
      </c>
      <c r="M77" s="55">
        <v>70000</v>
      </c>
      <c r="N77" s="170"/>
      <c r="O77" s="170"/>
      <c r="P77" s="170"/>
      <c r="Q77" s="159">
        <f t="shared" si="17"/>
        <v>75000</v>
      </c>
    </row>
    <row r="78" spans="1:17" s="45" customFormat="1" ht="29.25" customHeight="1">
      <c r="A78" s="456" t="s">
        <v>257</v>
      </c>
      <c r="B78" s="368" t="s">
        <v>404</v>
      </c>
      <c r="C78" s="523" t="s">
        <v>175</v>
      </c>
      <c r="D78" s="523">
        <v>2012</v>
      </c>
      <c r="E78" s="523">
        <v>2013</v>
      </c>
      <c r="F78" s="55">
        <v>600</v>
      </c>
      <c r="G78" s="55">
        <v>60016</v>
      </c>
      <c r="H78" s="55">
        <v>6050</v>
      </c>
      <c r="I78" s="55">
        <f>L78+M78</f>
        <v>65000</v>
      </c>
      <c r="J78" s="486"/>
      <c r="K78" s="486">
        <v>5000</v>
      </c>
      <c r="L78" s="486">
        <f>J78+K78</f>
        <v>5000</v>
      </c>
      <c r="M78" s="55">
        <v>60000</v>
      </c>
      <c r="N78" s="170"/>
      <c r="O78" s="170"/>
      <c r="P78" s="170"/>
      <c r="Q78" s="159">
        <f t="shared" si="17"/>
        <v>65000</v>
      </c>
    </row>
    <row r="79" spans="1:17" s="45" customFormat="1" ht="30" customHeight="1">
      <c r="A79" s="456" t="s">
        <v>283</v>
      </c>
      <c r="B79" s="528" t="s">
        <v>376</v>
      </c>
      <c r="C79" s="373" t="s">
        <v>175</v>
      </c>
      <c r="D79" s="373">
        <v>2012</v>
      </c>
      <c r="E79" s="373">
        <v>2016</v>
      </c>
      <c r="F79" s="55">
        <v>600</v>
      </c>
      <c r="G79" s="55">
        <v>60016</v>
      </c>
      <c r="H79" s="55">
        <v>6050</v>
      </c>
      <c r="I79" s="55">
        <f>L79+O79+P79</f>
        <v>230000</v>
      </c>
      <c r="J79" s="486">
        <v>60000</v>
      </c>
      <c r="K79" s="486"/>
      <c r="L79" s="486">
        <f t="shared" si="18"/>
        <v>60000</v>
      </c>
      <c r="M79" s="170"/>
      <c r="N79" s="170"/>
      <c r="O79" s="170">
        <v>20000</v>
      </c>
      <c r="P79" s="170">
        <v>150000</v>
      </c>
      <c r="Q79" s="159">
        <f t="shared" si="17"/>
        <v>230000</v>
      </c>
    </row>
    <row r="80" spans="1:17" s="45" customFormat="1" ht="33.75" customHeight="1">
      <c r="A80" s="456" t="s">
        <v>284</v>
      </c>
      <c r="B80" s="367" t="s">
        <v>307</v>
      </c>
      <c r="C80" s="373" t="s">
        <v>175</v>
      </c>
      <c r="D80" s="373">
        <v>2011</v>
      </c>
      <c r="E80" s="373">
        <v>2013</v>
      </c>
      <c r="F80" s="55">
        <v>600</v>
      </c>
      <c r="G80" s="55" t="s">
        <v>191</v>
      </c>
      <c r="H80" s="55">
        <v>6050</v>
      </c>
      <c r="I80" s="55">
        <f>Q80+67650</f>
        <v>1237650</v>
      </c>
      <c r="J80" s="486">
        <v>791000</v>
      </c>
      <c r="K80" s="486"/>
      <c r="L80" s="486">
        <f t="shared" si="18"/>
        <v>791000</v>
      </c>
      <c r="M80" s="55">
        <v>379000</v>
      </c>
      <c r="N80" s="170"/>
      <c r="O80" s="170"/>
      <c r="P80" s="170"/>
      <c r="Q80" s="159">
        <f t="shared" si="17"/>
        <v>1170000</v>
      </c>
    </row>
    <row r="81" spans="1:17" s="45" customFormat="1" ht="21" customHeight="1">
      <c r="A81" s="456" t="s">
        <v>285</v>
      </c>
      <c r="B81" s="367" t="s">
        <v>294</v>
      </c>
      <c r="C81" s="453" t="s">
        <v>175</v>
      </c>
      <c r="D81" s="453">
        <v>2012</v>
      </c>
      <c r="E81" s="453">
        <v>2013</v>
      </c>
      <c r="F81" s="55">
        <v>600</v>
      </c>
      <c r="G81" s="55" t="s">
        <v>191</v>
      </c>
      <c r="H81" s="55">
        <v>6050</v>
      </c>
      <c r="I81" s="55">
        <f aca="true" t="shared" si="19" ref="I81:I86">L81+M81</f>
        <v>905000</v>
      </c>
      <c r="J81" s="486">
        <v>300000</v>
      </c>
      <c r="K81" s="487"/>
      <c r="L81" s="486">
        <f t="shared" si="18"/>
        <v>300000</v>
      </c>
      <c r="M81" s="188">
        <v>605000</v>
      </c>
      <c r="N81" s="357"/>
      <c r="O81" s="357"/>
      <c r="P81" s="357"/>
      <c r="Q81" s="159">
        <f t="shared" si="17"/>
        <v>905000</v>
      </c>
    </row>
    <row r="82" spans="1:17" s="45" customFormat="1" ht="21" customHeight="1">
      <c r="A82" s="456" t="s">
        <v>286</v>
      </c>
      <c r="B82" s="367" t="s">
        <v>295</v>
      </c>
      <c r="C82" s="453" t="s">
        <v>175</v>
      </c>
      <c r="D82" s="453">
        <v>2012</v>
      </c>
      <c r="E82" s="453">
        <v>2013</v>
      </c>
      <c r="F82" s="55">
        <v>600</v>
      </c>
      <c r="G82" s="55" t="s">
        <v>191</v>
      </c>
      <c r="H82" s="55">
        <v>6050</v>
      </c>
      <c r="I82" s="55">
        <f t="shared" si="19"/>
        <v>840000</v>
      </c>
      <c r="J82" s="486">
        <v>300000</v>
      </c>
      <c r="K82" s="487"/>
      <c r="L82" s="486">
        <f t="shared" si="18"/>
        <v>300000</v>
      </c>
      <c r="M82" s="188">
        <v>540000</v>
      </c>
      <c r="N82" s="357"/>
      <c r="O82" s="357"/>
      <c r="P82" s="357"/>
      <c r="Q82" s="159">
        <f t="shared" si="17"/>
        <v>840000</v>
      </c>
    </row>
    <row r="83" spans="1:17" s="45" customFormat="1" ht="21" customHeight="1">
      <c r="A83" s="456" t="s">
        <v>287</v>
      </c>
      <c r="B83" s="367" t="s">
        <v>296</v>
      </c>
      <c r="C83" s="453" t="s">
        <v>175</v>
      </c>
      <c r="D83" s="453">
        <v>2012</v>
      </c>
      <c r="E83" s="453">
        <v>2013</v>
      </c>
      <c r="F83" s="55">
        <v>600</v>
      </c>
      <c r="G83" s="55" t="s">
        <v>191</v>
      </c>
      <c r="H83" s="55">
        <v>6050</v>
      </c>
      <c r="I83" s="55">
        <f t="shared" si="19"/>
        <v>710000</v>
      </c>
      <c r="J83" s="486">
        <v>196000</v>
      </c>
      <c r="K83" s="487"/>
      <c r="L83" s="486">
        <f t="shared" si="18"/>
        <v>196000</v>
      </c>
      <c r="M83" s="188">
        <v>514000</v>
      </c>
      <c r="N83" s="357"/>
      <c r="O83" s="357"/>
      <c r="P83" s="357"/>
      <c r="Q83" s="159">
        <f t="shared" si="17"/>
        <v>710000</v>
      </c>
    </row>
    <row r="84" spans="1:17" s="45" customFormat="1" ht="42.75" customHeight="1">
      <c r="A84" s="456" t="s">
        <v>288</v>
      </c>
      <c r="B84" s="367" t="s">
        <v>395</v>
      </c>
      <c r="C84" s="523" t="s">
        <v>175</v>
      </c>
      <c r="D84" s="523">
        <v>2012</v>
      </c>
      <c r="E84" s="523">
        <v>2013</v>
      </c>
      <c r="F84" s="55">
        <v>600</v>
      </c>
      <c r="G84" s="55">
        <v>60016</v>
      </c>
      <c r="H84" s="55">
        <v>6050</v>
      </c>
      <c r="I84" s="55">
        <f t="shared" si="19"/>
        <v>62667</v>
      </c>
      <c r="J84" s="486"/>
      <c r="K84" s="487">
        <v>2667</v>
      </c>
      <c r="L84" s="486">
        <f>J84+K84</f>
        <v>2667</v>
      </c>
      <c r="M84" s="532">
        <v>60000</v>
      </c>
      <c r="N84" s="357"/>
      <c r="O84" s="357"/>
      <c r="P84" s="357"/>
      <c r="Q84" s="159">
        <f t="shared" si="17"/>
        <v>62667</v>
      </c>
    </row>
    <row r="85" spans="1:17" s="45" customFormat="1" ht="42.75" customHeight="1">
      <c r="A85" s="456" t="s">
        <v>308</v>
      </c>
      <c r="B85" s="367" t="s">
        <v>396</v>
      </c>
      <c r="C85" s="523" t="s">
        <v>175</v>
      </c>
      <c r="D85" s="523">
        <v>2012</v>
      </c>
      <c r="E85" s="523">
        <v>2013</v>
      </c>
      <c r="F85" s="55">
        <v>600</v>
      </c>
      <c r="G85" s="55">
        <v>60016</v>
      </c>
      <c r="H85" s="55">
        <v>6050</v>
      </c>
      <c r="I85" s="55">
        <f t="shared" si="19"/>
        <v>55000</v>
      </c>
      <c r="J85" s="486"/>
      <c r="K85" s="487">
        <v>5000</v>
      </c>
      <c r="L85" s="486">
        <f>J85+K85</f>
        <v>5000</v>
      </c>
      <c r="M85" s="548">
        <v>50000</v>
      </c>
      <c r="N85" s="357"/>
      <c r="O85" s="357"/>
      <c r="P85" s="357"/>
      <c r="Q85" s="159">
        <f t="shared" si="17"/>
        <v>55000</v>
      </c>
    </row>
    <row r="86" spans="1:17" s="45" customFormat="1" ht="37.5" customHeight="1">
      <c r="A86" s="456" t="s">
        <v>327</v>
      </c>
      <c r="B86" s="367" t="s">
        <v>397</v>
      </c>
      <c r="C86" s="523" t="s">
        <v>175</v>
      </c>
      <c r="D86" s="523">
        <v>2012</v>
      </c>
      <c r="E86" s="523">
        <v>2013</v>
      </c>
      <c r="F86" s="55">
        <v>600</v>
      </c>
      <c r="G86" s="55">
        <v>60016</v>
      </c>
      <c r="H86" s="55">
        <v>6050</v>
      </c>
      <c r="I86" s="55">
        <f t="shared" si="19"/>
        <v>75000</v>
      </c>
      <c r="J86" s="486"/>
      <c r="K86" s="487">
        <v>5000</v>
      </c>
      <c r="L86" s="486">
        <f>J86+K86</f>
        <v>5000</v>
      </c>
      <c r="M86" s="532">
        <v>70000</v>
      </c>
      <c r="N86" s="357"/>
      <c r="O86" s="357"/>
      <c r="P86" s="357"/>
      <c r="Q86" s="159">
        <f t="shared" si="17"/>
        <v>75000</v>
      </c>
    </row>
    <row r="87" spans="1:17" s="45" customFormat="1" ht="28.5" customHeight="1">
      <c r="A87" s="456" t="s">
        <v>328</v>
      </c>
      <c r="B87" s="367" t="s">
        <v>301</v>
      </c>
      <c r="C87" s="453" t="s">
        <v>175</v>
      </c>
      <c r="D87" s="453">
        <v>2012</v>
      </c>
      <c r="E87" s="453">
        <v>2014</v>
      </c>
      <c r="F87" s="55">
        <v>600</v>
      </c>
      <c r="G87" s="55" t="s">
        <v>191</v>
      </c>
      <c r="H87" s="55">
        <v>6050</v>
      </c>
      <c r="I87" s="55">
        <f>L87+M87+N87</f>
        <v>1765000</v>
      </c>
      <c r="J87" s="486">
        <v>165000</v>
      </c>
      <c r="K87" s="487"/>
      <c r="L87" s="486">
        <f t="shared" si="18"/>
        <v>165000</v>
      </c>
      <c r="M87" s="188">
        <v>600000</v>
      </c>
      <c r="N87" s="357">
        <v>1000000</v>
      </c>
      <c r="O87" s="357"/>
      <c r="P87" s="357"/>
      <c r="Q87" s="159">
        <f t="shared" si="17"/>
        <v>1765000</v>
      </c>
    </row>
    <row r="88" spans="1:17" s="45" customFormat="1" ht="33.75" customHeight="1">
      <c r="A88" s="456" t="s">
        <v>374</v>
      </c>
      <c r="B88" s="550" t="s">
        <v>279</v>
      </c>
      <c r="C88" s="523" t="s">
        <v>175</v>
      </c>
      <c r="D88" s="523">
        <v>2011</v>
      </c>
      <c r="E88" s="523">
        <v>2012</v>
      </c>
      <c r="F88" s="55">
        <v>600</v>
      </c>
      <c r="G88" s="55">
        <v>60016</v>
      </c>
      <c r="H88" s="55">
        <v>6050</v>
      </c>
      <c r="I88" s="55">
        <f>L88+M88+1070071</f>
        <v>2283971</v>
      </c>
      <c r="J88" s="486">
        <v>1213900</v>
      </c>
      <c r="K88" s="486"/>
      <c r="L88" s="486">
        <f t="shared" si="18"/>
        <v>1213900</v>
      </c>
      <c r="M88" s="55"/>
      <c r="N88" s="170"/>
      <c r="O88" s="170"/>
      <c r="P88" s="170"/>
      <c r="Q88" s="159">
        <f t="shared" si="17"/>
        <v>1213900</v>
      </c>
    </row>
    <row r="89" spans="1:17" s="45" customFormat="1" ht="6" customHeight="1">
      <c r="A89" s="537"/>
      <c r="B89" s="533"/>
      <c r="C89" s="538"/>
      <c r="D89" s="538"/>
      <c r="E89" s="538"/>
      <c r="F89" s="539"/>
      <c r="G89" s="539"/>
      <c r="H89" s="539"/>
      <c r="I89" s="539"/>
      <c r="J89" s="540"/>
      <c r="K89" s="540"/>
      <c r="L89" s="540"/>
      <c r="M89" s="539"/>
      <c r="N89" s="541"/>
      <c r="O89" s="541"/>
      <c r="P89" s="541"/>
      <c r="Q89" s="396"/>
    </row>
    <row r="90" spans="1:17" s="45" customFormat="1" ht="6" customHeight="1">
      <c r="A90" s="537"/>
      <c r="B90" s="533"/>
      <c r="C90" s="538"/>
      <c r="D90" s="538"/>
      <c r="E90" s="538"/>
      <c r="F90" s="539"/>
      <c r="G90" s="539"/>
      <c r="H90" s="539"/>
      <c r="I90" s="539"/>
      <c r="J90" s="540"/>
      <c r="K90" s="540"/>
      <c r="L90" s="540"/>
      <c r="M90" s="539"/>
      <c r="N90" s="541"/>
      <c r="O90" s="541"/>
      <c r="P90" s="541"/>
      <c r="Q90" s="396"/>
    </row>
    <row r="91" spans="1:17" s="45" customFormat="1" ht="2.25" customHeight="1">
      <c r="A91" s="537"/>
      <c r="B91" s="533"/>
      <c r="C91" s="538"/>
      <c r="D91" s="538"/>
      <c r="E91" s="538"/>
      <c r="F91" s="539"/>
      <c r="G91" s="539"/>
      <c r="H91" s="539"/>
      <c r="I91" s="539"/>
      <c r="J91" s="540"/>
      <c r="K91" s="540"/>
      <c r="L91" s="540"/>
      <c r="M91" s="539"/>
      <c r="N91" s="541"/>
      <c r="O91" s="541"/>
      <c r="P91" s="541"/>
      <c r="Q91" s="396"/>
    </row>
    <row r="92" spans="1:17" s="45" customFormat="1" ht="18.75" customHeight="1">
      <c r="A92" s="654" t="s">
        <v>112</v>
      </c>
      <c r="B92" s="658" t="s">
        <v>144</v>
      </c>
      <c r="C92" s="661" t="s">
        <v>145</v>
      </c>
      <c r="D92" s="664" t="s">
        <v>231</v>
      </c>
      <c r="E92" s="664"/>
      <c r="F92" s="664" t="s">
        <v>146</v>
      </c>
      <c r="G92" s="664"/>
      <c r="H92" s="664"/>
      <c r="I92" s="642" t="s">
        <v>147</v>
      </c>
      <c r="J92" s="646" t="s">
        <v>313</v>
      </c>
      <c r="K92" s="646"/>
      <c r="L92" s="646"/>
      <c r="M92" s="646"/>
      <c r="N92" s="646"/>
      <c r="O92" s="646"/>
      <c r="P92" s="646"/>
      <c r="Q92" s="647" t="s">
        <v>148</v>
      </c>
    </row>
    <row r="93" spans="1:17" s="45" customFormat="1" ht="10.5" customHeight="1">
      <c r="A93" s="655"/>
      <c r="B93" s="659"/>
      <c r="C93" s="662"/>
      <c r="D93" s="665"/>
      <c r="E93" s="665"/>
      <c r="F93" s="665"/>
      <c r="G93" s="665"/>
      <c r="H93" s="665"/>
      <c r="I93" s="643"/>
      <c r="J93" s="651">
        <v>2012</v>
      </c>
      <c r="K93" s="652"/>
      <c r="L93" s="652"/>
      <c r="M93" s="642">
        <v>2013</v>
      </c>
      <c r="N93" s="642">
        <v>2014</v>
      </c>
      <c r="O93" s="642">
        <v>2015</v>
      </c>
      <c r="P93" s="642">
        <v>2016</v>
      </c>
      <c r="Q93" s="648"/>
    </row>
    <row r="94" spans="1:17" s="45" customFormat="1" ht="5.25" customHeight="1">
      <c r="A94" s="656"/>
      <c r="B94" s="660"/>
      <c r="C94" s="663"/>
      <c r="D94" s="642" t="s">
        <v>149</v>
      </c>
      <c r="E94" s="642" t="s">
        <v>150</v>
      </c>
      <c r="F94" s="667" t="s">
        <v>151</v>
      </c>
      <c r="G94" s="667" t="s">
        <v>152</v>
      </c>
      <c r="H94" s="667" t="s">
        <v>153</v>
      </c>
      <c r="I94" s="644"/>
      <c r="J94" s="651"/>
      <c r="K94" s="652"/>
      <c r="L94" s="652"/>
      <c r="M94" s="643"/>
      <c r="N94" s="643"/>
      <c r="O94" s="643"/>
      <c r="P94" s="643"/>
      <c r="Q94" s="649"/>
    </row>
    <row r="95" spans="1:17" s="45" customFormat="1" ht="26.25" customHeight="1" thickBot="1">
      <c r="A95" s="657"/>
      <c r="B95" s="645"/>
      <c r="C95" s="645"/>
      <c r="D95" s="666"/>
      <c r="E95" s="666"/>
      <c r="F95" s="668"/>
      <c r="G95" s="668"/>
      <c r="H95" s="668"/>
      <c r="I95" s="645"/>
      <c r="J95" s="478" t="s">
        <v>310</v>
      </c>
      <c r="K95" s="478" t="s">
        <v>311</v>
      </c>
      <c r="L95" s="478" t="s">
        <v>312</v>
      </c>
      <c r="M95" s="653"/>
      <c r="N95" s="653"/>
      <c r="O95" s="653"/>
      <c r="P95" s="653"/>
      <c r="Q95" s="650"/>
    </row>
    <row r="96" spans="1:17" s="45" customFormat="1" ht="22.5" customHeight="1">
      <c r="A96" s="456" t="s">
        <v>381</v>
      </c>
      <c r="B96" s="477" t="s">
        <v>399</v>
      </c>
      <c r="C96" s="476" t="s">
        <v>175</v>
      </c>
      <c r="D96" s="476">
        <v>2012</v>
      </c>
      <c r="E96" s="476">
        <v>2016</v>
      </c>
      <c r="F96" s="55">
        <v>600</v>
      </c>
      <c r="G96" s="55">
        <v>60016</v>
      </c>
      <c r="H96" s="55">
        <v>6050</v>
      </c>
      <c r="I96" s="55">
        <f>L96+P96+O96+M96</f>
        <v>280000</v>
      </c>
      <c r="J96" s="487">
        <v>65000</v>
      </c>
      <c r="K96" s="487">
        <v>-60000</v>
      </c>
      <c r="L96" s="486">
        <f t="shared" si="18"/>
        <v>5000</v>
      </c>
      <c r="M96" s="188">
        <v>65000</v>
      </c>
      <c r="N96" s="357"/>
      <c r="O96" s="357">
        <v>10000</v>
      </c>
      <c r="P96" s="357">
        <v>200000</v>
      </c>
      <c r="Q96" s="159">
        <f aca="true" t="shared" si="20" ref="Q96:Q104">SUM(L96:P96)</f>
        <v>280000</v>
      </c>
    </row>
    <row r="97" spans="1:17" s="45" customFormat="1" ht="33.75" customHeight="1">
      <c r="A97" s="456" t="s">
        <v>383</v>
      </c>
      <c r="B97" s="477" t="s">
        <v>400</v>
      </c>
      <c r="C97" s="508" t="s">
        <v>175</v>
      </c>
      <c r="D97" s="508">
        <v>2012</v>
      </c>
      <c r="E97" s="508">
        <v>2013</v>
      </c>
      <c r="F97" s="55">
        <v>600</v>
      </c>
      <c r="G97" s="55">
        <v>60016</v>
      </c>
      <c r="H97" s="55">
        <v>6050</v>
      </c>
      <c r="I97" s="55">
        <f>L97+M97</f>
        <v>71000</v>
      </c>
      <c r="J97" s="487">
        <v>1000</v>
      </c>
      <c r="K97" s="487"/>
      <c r="L97" s="486">
        <f>J97+K97</f>
        <v>1000</v>
      </c>
      <c r="M97" s="188">
        <v>70000</v>
      </c>
      <c r="N97" s="357"/>
      <c r="O97" s="357"/>
      <c r="P97" s="357"/>
      <c r="Q97" s="159">
        <f t="shared" si="20"/>
        <v>71000</v>
      </c>
    </row>
    <row r="98" spans="1:17" s="45" customFormat="1" ht="23.25" customHeight="1">
      <c r="A98" s="456" t="s">
        <v>384</v>
      </c>
      <c r="B98" s="458" t="s">
        <v>266</v>
      </c>
      <c r="C98" s="453" t="s">
        <v>175</v>
      </c>
      <c r="D98" s="453">
        <v>2011</v>
      </c>
      <c r="E98" s="453">
        <v>2012</v>
      </c>
      <c r="F98" s="55">
        <v>600</v>
      </c>
      <c r="G98" s="55" t="s">
        <v>191</v>
      </c>
      <c r="H98" s="55">
        <v>6050</v>
      </c>
      <c r="I98" s="55">
        <f>L98+M98+212845</f>
        <v>914375</v>
      </c>
      <c r="J98" s="486">
        <v>701530</v>
      </c>
      <c r="K98" s="486"/>
      <c r="L98" s="486">
        <f t="shared" si="18"/>
        <v>701530</v>
      </c>
      <c r="M98" s="55"/>
      <c r="N98" s="55"/>
      <c r="O98" s="55"/>
      <c r="P98" s="55"/>
      <c r="Q98" s="159">
        <f t="shared" si="20"/>
        <v>701530</v>
      </c>
    </row>
    <row r="99" spans="1:17" s="45" customFormat="1" ht="33.75" customHeight="1">
      <c r="A99" s="456" t="s">
        <v>385</v>
      </c>
      <c r="B99" s="460" t="s">
        <v>373</v>
      </c>
      <c r="C99" s="453" t="s">
        <v>175</v>
      </c>
      <c r="D99" s="453">
        <v>2012</v>
      </c>
      <c r="E99" s="453">
        <v>2016</v>
      </c>
      <c r="F99" s="55">
        <v>600</v>
      </c>
      <c r="G99" s="55" t="s">
        <v>191</v>
      </c>
      <c r="H99" s="55">
        <v>6050</v>
      </c>
      <c r="I99" s="55">
        <f>Q99</f>
        <v>410000</v>
      </c>
      <c r="J99" s="486">
        <v>100000</v>
      </c>
      <c r="K99" s="486"/>
      <c r="L99" s="486">
        <f t="shared" si="18"/>
        <v>100000</v>
      </c>
      <c r="M99" s="55"/>
      <c r="N99" s="170"/>
      <c r="O99" s="170">
        <v>10000</v>
      </c>
      <c r="P99" s="170">
        <v>300000</v>
      </c>
      <c r="Q99" s="159">
        <f t="shared" si="20"/>
        <v>410000</v>
      </c>
    </row>
    <row r="100" spans="1:17" s="45" customFormat="1" ht="28.5" customHeight="1">
      <c r="A100" s="456" t="s">
        <v>386</v>
      </c>
      <c r="B100" s="535" t="s">
        <v>380</v>
      </c>
      <c r="C100" s="523" t="s">
        <v>175</v>
      </c>
      <c r="D100" s="523">
        <v>2012</v>
      </c>
      <c r="E100" s="523">
        <v>2013</v>
      </c>
      <c r="F100" s="55">
        <v>600</v>
      </c>
      <c r="G100" s="55">
        <v>60016</v>
      </c>
      <c r="H100" s="55">
        <v>6050</v>
      </c>
      <c r="I100" s="55">
        <f>L100+M100</f>
        <v>553000</v>
      </c>
      <c r="J100" s="486">
        <v>453000</v>
      </c>
      <c r="K100" s="486"/>
      <c r="L100" s="486">
        <f>J100+K100</f>
        <v>453000</v>
      </c>
      <c r="M100" s="55">
        <v>100000</v>
      </c>
      <c r="N100" s="170"/>
      <c r="O100" s="170"/>
      <c r="P100" s="170"/>
      <c r="Q100" s="159">
        <f t="shared" si="20"/>
        <v>553000</v>
      </c>
    </row>
    <row r="101" spans="1:17" s="45" customFormat="1" ht="33.75" customHeight="1">
      <c r="A101" s="456" t="s">
        <v>387</v>
      </c>
      <c r="B101" s="534" t="s">
        <v>268</v>
      </c>
      <c r="C101" s="352" t="s">
        <v>175</v>
      </c>
      <c r="D101" s="352">
        <v>2011</v>
      </c>
      <c r="E101" s="352">
        <v>2012</v>
      </c>
      <c r="F101" s="361">
        <v>600</v>
      </c>
      <c r="G101" s="361" t="s">
        <v>191</v>
      </c>
      <c r="H101" s="361">
        <v>6050</v>
      </c>
      <c r="I101" s="361">
        <f>L101+M101+218957</f>
        <v>1089504</v>
      </c>
      <c r="J101" s="485">
        <v>868214</v>
      </c>
      <c r="K101" s="485">
        <v>2333</v>
      </c>
      <c r="L101" s="485">
        <f t="shared" si="18"/>
        <v>870547</v>
      </c>
      <c r="M101" s="362"/>
      <c r="N101" s="362"/>
      <c r="O101" s="362"/>
      <c r="P101" s="362"/>
      <c r="Q101" s="493">
        <f t="shared" si="20"/>
        <v>870547</v>
      </c>
    </row>
    <row r="102" spans="1:17" s="45" customFormat="1" ht="33.75" customHeight="1">
      <c r="A102" s="456" t="s">
        <v>390</v>
      </c>
      <c r="B102" s="458" t="s">
        <v>263</v>
      </c>
      <c r="C102" s="523" t="s">
        <v>175</v>
      </c>
      <c r="D102" s="523">
        <v>2011</v>
      </c>
      <c r="E102" s="523">
        <v>2012</v>
      </c>
      <c r="F102" s="55">
        <v>600</v>
      </c>
      <c r="G102" s="55" t="s">
        <v>191</v>
      </c>
      <c r="H102" s="55">
        <v>6050</v>
      </c>
      <c r="I102" s="55">
        <f>L102+M102+9350</f>
        <v>98525</v>
      </c>
      <c r="J102" s="486">
        <v>89175</v>
      </c>
      <c r="K102" s="486"/>
      <c r="L102" s="486">
        <f>J102+K102</f>
        <v>89175</v>
      </c>
      <c r="M102" s="55"/>
      <c r="N102" s="55"/>
      <c r="O102" s="55"/>
      <c r="P102" s="55"/>
      <c r="Q102" s="159">
        <f t="shared" si="20"/>
        <v>89175</v>
      </c>
    </row>
    <row r="103" spans="1:17" s="45" customFormat="1" ht="28.5" customHeight="1">
      <c r="A103" s="456" t="s">
        <v>391</v>
      </c>
      <c r="B103" s="458" t="s">
        <v>398</v>
      </c>
      <c r="C103" s="523" t="s">
        <v>175</v>
      </c>
      <c r="D103" s="523">
        <v>2012</v>
      </c>
      <c r="E103" s="523">
        <v>2013</v>
      </c>
      <c r="F103" s="55">
        <v>600</v>
      </c>
      <c r="G103" s="55" t="s">
        <v>191</v>
      </c>
      <c r="H103" s="55">
        <v>6050</v>
      </c>
      <c r="I103" s="55">
        <f>L103+M103</f>
        <v>85000</v>
      </c>
      <c r="J103" s="486"/>
      <c r="K103" s="486">
        <v>5000</v>
      </c>
      <c r="L103" s="486">
        <f>J103+K103</f>
        <v>5000</v>
      </c>
      <c r="M103" s="55">
        <v>80000</v>
      </c>
      <c r="N103" s="55"/>
      <c r="O103" s="55"/>
      <c r="P103" s="55"/>
      <c r="Q103" s="159">
        <f t="shared" si="20"/>
        <v>85000</v>
      </c>
    </row>
    <row r="104" spans="1:17" s="45" customFormat="1" ht="52.5" customHeight="1">
      <c r="A104" s="456" t="s">
        <v>392</v>
      </c>
      <c r="B104" s="556" t="s">
        <v>410</v>
      </c>
      <c r="C104" s="523" t="s">
        <v>175</v>
      </c>
      <c r="D104" s="523">
        <v>2012</v>
      </c>
      <c r="E104" s="523">
        <v>2013</v>
      </c>
      <c r="F104" s="55">
        <v>600</v>
      </c>
      <c r="G104" s="55" t="s">
        <v>191</v>
      </c>
      <c r="H104" s="55">
        <v>6050</v>
      </c>
      <c r="I104" s="55">
        <f>L104+M104</f>
        <v>65000</v>
      </c>
      <c r="J104" s="486"/>
      <c r="K104" s="486">
        <v>5000</v>
      </c>
      <c r="L104" s="486">
        <f>J104+K104</f>
        <v>5000</v>
      </c>
      <c r="M104" s="55">
        <v>60000</v>
      </c>
      <c r="N104" s="55"/>
      <c r="O104" s="55"/>
      <c r="P104" s="55"/>
      <c r="Q104" s="159">
        <f t="shared" si="20"/>
        <v>65000</v>
      </c>
    </row>
    <row r="105" spans="1:17" s="45" customFormat="1" ht="18.75" customHeight="1">
      <c r="A105" s="687" t="s">
        <v>405</v>
      </c>
      <c r="B105" s="689" t="s">
        <v>377</v>
      </c>
      <c r="C105" s="691" t="s">
        <v>175</v>
      </c>
      <c r="D105" s="691">
        <v>2012</v>
      </c>
      <c r="E105" s="691">
        <v>2015</v>
      </c>
      <c r="F105" s="692" t="s">
        <v>166</v>
      </c>
      <c r="G105" s="693"/>
      <c r="H105" s="694"/>
      <c r="I105" s="170">
        <f>SUM(I106:I107)</f>
        <v>1256950</v>
      </c>
      <c r="J105" s="480">
        <f aca="true" t="shared" si="21" ref="J105:Q105">SUM(J106:J107)</f>
        <v>8610</v>
      </c>
      <c r="K105" s="480">
        <f t="shared" si="21"/>
        <v>0</v>
      </c>
      <c r="L105" s="480">
        <f t="shared" si="21"/>
        <v>8610</v>
      </c>
      <c r="M105" s="170">
        <f t="shared" si="21"/>
        <v>1036340</v>
      </c>
      <c r="N105" s="170">
        <f t="shared" si="21"/>
        <v>166000</v>
      </c>
      <c r="O105" s="170">
        <f t="shared" si="21"/>
        <v>46000</v>
      </c>
      <c r="P105" s="170">
        <f t="shared" si="21"/>
        <v>0</v>
      </c>
      <c r="Q105" s="170">
        <f t="shared" si="21"/>
        <v>1256950</v>
      </c>
    </row>
    <row r="106" spans="1:17" s="45" customFormat="1" ht="16.5" customHeight="1">
      <c r="A106" s="688"/>
      <c r="B106" s="690"/>
      <c r="C106" s="690"/>
      <c r="D106" s="690"/>
      <c r="E106" s="690"/>
      <c r="F106" s="685">
        <v>720</v>
      </c>
      <c r="G106" s="685">
        <v>72095</v>
      </c>
      <c r="H106" s="55">
        <v>6057</v>
      </c>
      <c r="I106" s="55">
        <f>Q106</f>
        <v>1068407</v>
      </c>
      <c r="J106" s="486">
        <v>7318</v>
      </c>
      <c r="K106" s="486"/>
      <c r="L106" s="486">
        <f>J106+K106</f>
        <v>7318</v>
      </c>
      <c r="M106" s="55">
        <v>880889</v>
      </c>
      <c r="N106" s="55">
        <v>141100</v>
      </c>
      <c r="O106" s="55">
        <v>39100</v>
      </c>
      <c r="P106" s="55"/>
      <c r="Q106" s="159">
        <f>SUM(L106:P106)</f>
        <v>1068407</v>
      </c>
    </row>
    <row r="107" spans="1:17" s="45" customFormat="1" ht="17.25" customHeight="1" thickBot="1">
      <c r="A107" s="688"/>
      <c r="B107" s="690"/>
      <c r="C107" s="690"/>
      <c r="D107" s="690"/>
      <c r="E107" s="690"/>
      <c r="F107" s="686"/>
      <c r="G107" s="686"/>
      <c r="H107" s="532">
        <v>6059</v>
      </c>
      <c r="I107" s="532">
        <f>Q107</f>
        <v>188543</v>
      </c>
      <c r="J107" s="487">
        <v>1292</v>
      </c>
      <c r="K107" s="487"/>
      <c r="L107" s="487">
        <f>J107+K107</f>
        <v>1292</v>
      </c>
      <c r="M107" s="532">
        <v>155451</v>
      </c>
      <c r="N107" s="532">
        <v>24900</v>
      </c>
      <c r="O107" s="532">
        <v>6900</v>
      </c>
      <c r="P107" s="532"/>
      <c r="Q107" s="536">
        <f>SUM(L107:P107)</f>
        <v>188543</v>
      </c>
    </row>
    <row r="108" spans="1:17" ht="71.25" customHeight="1" thickTop="1">
      <c r="A108" s="542" t="s">
        <v>198</v>
      </c>
      <c r="B108" s="543" t="s">
        <v>199</v>
      </c>
      <c r="C108" s="544"/>
      <c r="D108" s="545" t="s">
        <v>81</v>
      </c>
      <c r="E108" s="544" t="s">
        <v>81</v>
      </c>
      <c r="F108" s="544"/>
      <c r="G108" s="544"/>
      <c r="H108" s="544"/>
      <c r="I108" s="546">
        <f aca="true" t="shared" si="22" ref="I108:P108">I109</f>
        <v>37601676</v>
      </c>
      <c r="J108" s="546">
        <f t="shared" si="22"/>
        <v>11756168</v>
      </c>
      <c r="K108" s="546">
        <f t="shared" si="22"/>
        <v>717194</v>
      </c>
      <c r="L108" s="546">
        <f t="shared" si="22"/>
        <v>12473362</v>
      </c>
      <c r="M108" s="546">
        <f t="shared" si="22"/>
        <v>9024790</v>
      </c>
      <c r="N108" s="546">
        <f t="shared" si="22"/>
        <v>5933714</v>
      </c>
      <c r="O108" s="546">
        <f t="shared" si="22"/>
        <v>3761310</v>
      </c>
      <c r="P108" s="546">
        <f t="shared" si="22"/>
        <v>3558490</v>
      </c>
      <c r="Q108" s="547">
        <f>SUM(L108:P108)</f>
        <v>34751666</v>
      </c>
    </row>
    <row r="109" spans="1:18" s="37" customFormat="1" ht="25.5" customHeight="1">
      <c r="A109" s="156"/>
      <c r="B109" s="369" t="s">
        <v>155</v>
      </c>
      <c r="C109" s="398"/>
      <c r="D109" s="397" t="s">
        <v>81</v>
      </c>
      <c r="E109" s="215" t="s">
        <v>81</v>
      </c>
      <c r="F109" s="215"/>
      <c r="G109" s="215"/>
      <c r="H109" s="215"/>
      <c r="I109" s="414">
        <f>SUM(I110:I166)</f>
        <v>37601676</v>
      </c>
      <c r="J109" s="414">
        <f>SUM(J110:J166)</f>
        <v>11756168</v>
      </c>
      <c r="K109" s="414">
        <f aca="true" t="shared" si="23" ref="K109:P109">SUM(K110:K166)</f>
        <v>717194</v>
      </c>
      <c r="L109" s="414">
        <f t="shared" si="23"/>
        <v>12473362</v>
      </c>
      <c r="M109" s="414">
        <f t="shared" si="23"/>
        <v>9024790</v>
      </c>
      <c r="N109" s="414">
        <f t="shared" si="23"/>
        <v>5933714</v>
      </c>
      <c r="O109" s="414">
        <f t="shared" si="23"/>
        <v>3761310</v>
      </c>
      <c r="P109" s="414">
        <f t="shared" si="23"/>
        <v>3558490</v>
      </c>
      <c r="Q109" s="414">
        <f>SUM(Q110:Q166)</f>
        <v>34751666</v>
      </c>
      <c r="R109" s="342">
        <f>SUM(L109:P109)</f>
        <v>34751666</v>
      </c>
    </row>
    <row r="110" spans="1:18" ht="27" customHeight="1">
      <c r="A110" s="132" t="s">
        <v>158</v>
      </c>
      <c r="B110" s="371" t="s">
        <v>317</v>
      </c>
      <c r="C110" s="399" t="s">
        <v>175</v>
      </c>
      <c r="D110" s="397">
        <v>2012</v>
      </c>
      <c r="E110" s="397">
        <v>2016</v>
      </c>
      <c r="F110" s="397">
        <v>600</v>
      </c>
      <c r="G110" s="397">
        <v>60004</v>
      </c>
      <c r="H110" s="397">
        <v>2310</v>
      </c>
      <c r="I110" s="50">
        <v>3000000</v>
      </c>
      <c r="J110" s="50">
        <v>600000</v>
      </c>
      <c r="K110" s="50"/>
      <c r="L110" s="50">
        <f>J110+K110</f>
        <v>600000</v>
      </c>
      <c r="M110" s="50">
        <v>600000</v>
      </c>
      <c r="N110" s="50">
        <v>600000</v>
      </c>
      <c r="O110" s="50">
        <v>600000</v>
      </c>
      <c r="P110" s="50">
        <v>600000</v>
      </c>
      <c r="Q110" s="159">
        <f>SUM(L110:P110)</f>
        <v>3000000</v>
      </c>
      <c r="R110" s="14">
        <f>Q109-R109</f>
        <v>0</v>
      </c>
    </row>
    <row r="111" spans="1:17" ht="25.5" customHeight="1">
      <c r="A111" s="132" t="s">
        <v>115</v>
      </c>
      <c r="B111" s="371" t="s">
        <v>318</v>
      </c>
      <c r="C111" s="399" t="s">
        <v>175</v>
      </c>
      <c r="D111" s="397">
        <v>2012</v>
      </c>
      <c r="E111" s="397">
        <v>2016</v>
      </c>
      <c r="F111" s="397">
        <v>600</v>
      </c>
      <c r="G111" s="397">
        <v>60004</v>
      </c>
      <c r="H111" s="397">
        <v>2310</v>
      </c>
      <c r="I111" s="50">
        <f>Q111</f>
        <v>5850000</v>
      </c>
      <c r="J111" s="50">
        <v>1170000</v>
      </c>
      <c r="K111" s="50"/>
      <c r="L111" s="50">
        <f>J111+K111</f>
        <v>1170000</v>
      </c>
      <c r="M111" s="50">
        <v>1170000</v>
      </c>
      <c r="N111" s="50">
        <v>1170000</v>
      </c>
      <c r="O111" s="50">
        <v>1170000</v>
      </c>
      <c r="P111" s="50">
        <v>1170000</v>
      </c>
      <c r="Q111" s="159">
        <f aca="true" t="shared" si="24" ref="Q111:Q165">SUM(L111:P111)</f>
        <v>5850000</v>
      </c>
    </row>
    <row r="112" spans="1:17" ht="25.5" customHeight="1">
      <c r="A112" s="132" t="s">
        <v>117</v>
      </c>
      <c r="B112" s="371" t="s">
        <v>389</v>
      </c>
      <c r="C112" s="523" t="s">
        <v>175</v>
      </c>
      <c r="D112" s="549">
        <v>2012</v>
      </c>
      <c r="E112" s="549">
        <v>2016</v>
      </c>
      <c r="F112" s="549">
        <v>600</v>
      </c>
      <c r="G112" s="549">
        <v>60004</v>
      </c>
      <c r="H112" s="549">
        <v>4300</v>
      </c>
      <c r="I112" s="50">
        <f>Q112</f>
        <v>5076748</v>
      </c>
      <c r="J112" s="50">
        <v>766748</v>
      </c>
      <c r="K112" s="50"/>
      <c r="L112" s="50">
        <f>J112+K112</f>
        <v>766748</v>
      </c>
      <c r="M112" s="50">
        <v>800000</v>
      </c>
      <c r="N112" s="50">
        <v>1170000</v>
      </c>
      <c r="O112" s="50">
        <v>1170000</v>
      </c>
      <c r="P112" s="50">
        <v>1170000</v>
      </c>
      <c r="Q112" s="159">
        <f>SUM(L112:P112)</f>
        <v>5076748</v>
      </c>
    </row>
    <row r="113" spans="1:17" ht="21" customHeight="1">
      <c r="A113" s="132" t="s">
        <v>119</v>
      </c>
      <c r="B113" s="371" t="s">
        <v>258</v>
      </c>
      <c r="C113" s="497" t="s">
        <v>175</v>
      </c>
      <c r="D113" s="496">
        <v>2011</v>
      </c>
      <c r="E113" s="496">
        <v>2012</v>
      </c>
      <c r="F113" s="496">
        <v>600</v>
      </c>
      <c r="G113" s="496">
        <v>60016</v>
      </c>
      <c r="H113" s="496">
        <v>4270</v>
      </c>
      <c r="I113" s="50">
        <f>Q113+200000</f>
        <v>6900000</v>
      </c>
      <c r="J113" s="50">
        <v>3000000</v>
      </c>
      <c r="K113" s="50">
        <v>700000</v>
      </c>
      <c r="L113" s="50">
        <f>J113+K113</f>
        <v>3700000</v>
      </c>
      <c r="M113" s="50">
        <v>3000000</v>
      </c>
      <c r="N113" s="50">
        <v>0</v>
      </c>
      <c r="O113" s="50">
        <v>0</v>
      </c>
      <c r="P113" s="50">
        <v>0</v>
      </c>
      <c r="Q113" s="159">
        <f>SUM(L113:P113)</f>
        <v>6700000</v>
      </c>
    </row>
    <row r="114" spans="1:17" ht="21" customHeight="1">
      <c r="A114" s="132" t="s">
        <v>121</v>
      </c>
      <c r="B114" s="371" t="s">
        <v>265</v>
      </c>
      <c r="C114" s="497" t="s">
        <v>175</v>
      </c>
      <c r="D114" s="496">
        <v>2011</v>
      </c>
      <c r="E114" s="496">
        <v>2012</v>
      </c>
      <c r="F114" s="496">
        <v>600</v>
      </c>
      <c r="G114" s="496">
        <v>60016</v>
      </c>
      <c r="H114" s="496">
        <v>4300</v>
      </c>
      <c r="I114" s="50">
        <v>600000</v>
      </c>
      <c r="J114" s="50">
        <v>500000</v>
      </c>
      <c r="K114" s="50"/>
      <c r="L114" s="50">
        <f>J114+K114</f>
        <v>500000</v>
      </c>
      <c r="M114" s="50">
        <v>0</v>
      </c>
      <c r="N114" s="50">
        <v>0</v>
      </c>
      <c r="O114" s="50">
        <v>0</v>
      </c>
      <c r="P114" s="50">
        <v>0</v>
      </c>
      <c r="Q114" s="159">
        <f>SUM(L114:P114)</f>
        <v>500000</v>
      </c>
    </row>
    <row r="115" spans="1:17" ht="54.75" customHeight="1">
      <c r="A115" s="132" t="s">
        <v>123</v>
      </c>
      <c r="B115" s="371" t="s">
        <v>239</v>
      </c>
      <c r="C115" s="216" t="s">
        <v>165</v>
      </c>
      <c r="D115" s="468">
        <v>2011</v>
      </c>
      <c r="E115" s="468">
        <v>2012</v>
      </c>
      <c r="F115" s="468">
        <v>600</v>
      </c>
      <c r="G115" s="468">
        <v>60016</v>
      </c>
      <c r="H115" s="468">
        <v>4300</v>
      </c>
      <c r="I115" s="50">
        <v>40626</v>
      </c>
      <c r="J115" s="50">
        <v>20313</v>
      </c>
      <c r="K115" s="50"/>
      <c r="L115" s="50">
        <f aca="true" t="shared" si="25" ref="L115:L165">J115+K115</f>
        <v>20313</v>
      </c>
      <c r="M115" s="50">
        <v>0</v>
      </c>
      <c r="N115" s="50">
        <v>0</v>
      </c>
      <c r="O115" s="50">
        <v>0</v>
      </c>
      <c r="P115" s="50">
        <v>0</v>
      </c>
      <c r="Q115" s="159">
        <f t="shared" si="24"/>
        <v>20313</v>
      </c>
    </row>
    <row r="116" spans="1:17" ht="39" customHeight="1">
      <c r="A116" s="132" t="s">
        <v>125</v>
      </c>
      <c r="B116" s="371" t="s">
        <v>316</v>
      </c>
      <c r="C116" s="216" t="s">
        <v>165</v>
      </c>
      <c r="D116" s="492">
        <v>2012</v>
      </c>
      <c r="E116" s="492">
        <v>2016</v>
      </c>
      <c r="F116" s="492">
        <v>600</v>
      </c>
      <c r="G116" s="492">
        <v>60016</v>
      </c>
      <c r="H116" s="492">
        <v>4400</v>
      </c>
      <c r="I116" s="50">
        <f>Q116</f>
        <v>10753</v>
      </c>
      <c r="J116" s="50">
        <v>1833</v>
      </c>
      <c r="K116" s="50"/>
      <c r="L116" s="50">
        <f>J116+K116</f>
        <v>1833</v>
      </c>
      <c r="M116" s="50">
        <v>1980</v>
      </c>
      <c r="N116" s="50">
        <v>2140</v>
      </c>
      <c r="O116" s="50">
        <v>2310</v>
      </c>
      <c r="P116" s="50">
        <v>2490</v>
      </c>
      <c r="Q116" s="159">
        <f>SUM(L116:P116)</f>
        <v>10753</v>
      </c>
    </row>
    <row r="117" spans="1:17" ht="21" customHeight="1">
      <c r="A117" s="132" t="s">
        <v>127</v>
      </c>
      <c r="B117" s="371" t="s">
        <v>319</v>
      </c>
      <c r="C117" s="499" t="s">
        <v>175</v>
      </c>
      <c r="D117" s="498">
        <v>2012</v>
      </c>
      <c r="E117" s="498">
        <v>2013</v>
      </c>
      <c r="F117" s="498">
        <v>700</v>
      </c>
      <c r="G117" s="498">
        <v>70005</v>
      </c>
      <c r="H117" s="498">
        <v>4300</v>
      </c>
      <c r="I117" s="50">
        <f>Q117</f>
        <v>2583</v>
      </c>
      <c r="J117" s="50">
        <v>1476</v>
      </c>
      <c r="K117" s="50"/>
      <c r="L117" s="50">
        <f>J117+K117</f>
        <v>1476</v>
      </c>
      <c r="M117" s="50">
        <v>1107</v>
      </c>
      <c r="N117" s="50">
        <v>0</v>
      </c>
      <c r="O117" s="50">
        <v>0</v>
      </c>
      <c r="P117" s="50">
        <v>0</v>
      </c>
      <c r="Q117" s="159">
        <f>SUM(L117:P117)</f>
        <v>2583</v>
      </c>
    </row>
    <row r="118" spans="1:17" ht="26.25" customHeight="1">
      <c r="A118" s="132" t="s">
        <v>129</v>
      </c>
      <c r="B118" s="371" t="s">
        <v>238</v>
      </c>
      <c r="C118" s="523" t="s">
        <v>175</v>
      </c>
      <c r="D118" s="527">
        <v>2011</v>
      </c>
      <c r="E118" s="527">
        <v>2012</v>
      </c>
      <c r="F118" s="527">
        <v>700</v>
      </c>
      <c r="G118" s="527">
        <v>70005</v>
      </c>
      <c r="H118" s="527">
        <v>4300</v>
      </c>
      <c r="I118" s="50">
        <v>28306</v>
      </c>
      <c r="J118" s="50">
        <v>14153</v>
      </c>
      <c r="K118" s="50"/>
      <c r="L118" s="50">
        <f>J118+K118</f>
        <v>14153</v>
      </c>
      <c r="M118" s="50">
        <v>0</v>
      </c>
      <c r="N118" s="50">
        <v>0</v>
      </c>
      <c r="O118" s="50">
        <v>0</v>
      </c>
      <c r="P118" s="50">
        <v>0</v>
      </c>
      <c r="Q118" s="159">
        <f>SUM(L118:P118)</f>
        <v>14153</v>
      </c>
    </row>
    <row r="119" spans="1:17" ht="21.75" customHeight="1">
      <c r="A119" s="132" t="s">
        <v>132</v>
      </c>
      <c r="B119" s="371" t="s">
        <v>375</v>
      </c>
      <c r="C119" s="523" t="s">
        <v>277</v>
      </c>
      <c r="D119" s="527">
        <v>2011</v>
      </c>
      <c r="E119" s="527">
        <v>2016</v>
      </c>
      <c r="F119" s="527">
        <v>700</v>
      </c>
      <c r="G119" s="527">
        <v>70005</v>
      </c>
      <c r="H119" s="527">
        <v>4300</v>
      </c>
      <c r="I119" s="50">
        <f>Q119</f>
        <v>150000</v>
      </c>
      <c r="J119" s="50">
        <v>20000</v>
      </c>
      <c r="K119" s="50"/>
      <c r="L119" s="50">
        <f>J119+K119</f>
        <v>20000</v>
      </c>
      <c r="M119" s="50">
        <v>30000</v>
      </c>
      <c r="N119" s="50">
        <v>30000</v>
      </c>
      <c r="O119" s="50">
        <v>30000</v>
      </c>
      <c r="P119" s="50">
        <v>40000</v>
      </c>
      <c r="Q119" s="159">
        <f>SUM(L119:P119)</f>
        <v>150000</v>
      </c>
    </row>
    <row r="120" spans="1:17" ht="41.25" customHeight="1">
      <c r="A120" s="132" t="s">
        <v>136</v>
      </c>
      <c r="B120" s="371" t="s">
        <v>200</v>
      </c>
      <c r="C120" s="399" t="s">
        <v>175</v>
      </c>
      <c r="D120" s="397">
        <v>2011</v>
      </c>
      <c r="E120" s="397">
        <v>2012</v>
      </c>
      <c r="F120" s="397">
        <v>700</v>
      </c>
      <c r="G120" s="397">
        <v>70005</v>
      </c>
      <c r="H120" s="397">
        <v>4400</v>
      </c>
      <c r="I120" s="50">
        <v>44344</v>
      </c>
      <c r="J120" s="50">
        <v>22172</v>
      </c>
      <c r="K120" s="50"/>
      <c r="L120" s="50">
        <f t="shared" si="25"/>
        <v>22172</v>
      </c>
      <c r="M120" s="50">
        <v>0</v>
      </c>
      <c r="N120" s="50">
        <v>0</v>
      </c>
      <c r="O120" s="50">
        <v>0</v>
      </c>
      <c r="P120" s="50">
        <v>0</v>
      </c>
      <c r="Q120" s="159">
        <f t="shared" si="24"/>
        <v>22172</v>
      </c>
    </row>
    <row r="121" spans="1:17" ht="51.75" customHeight="1">
      <c r="A121" s="132" t="s">
        <v>138</v>
      </c>
      <c r="B121" s="371" t="s">
        <v>240</v>
      </c>
      <c r="C121" s="399" t="s">
        <v>204</v>
      </c>
      <c r="D121" s="397">
        <v>2011</v>
      </c>
      <c r="E121" s="397">
        <v>2013</v>
      </c>
      <c r="F121" s="397">
        <v>700</v>
      </c>
      <c r="G121" s="397">
        <v>70005</v>
      </c>
      <c r="H121" s="397">
        <v>4400</v>
      </c>
      <c r="I121" s="50">
        <v>252000</v>
      </c>
      <c r="J121" s="50">
        <v>108000</v>
      </c>
      <c r="K121" s="50"/>
      <c r="L121" s="50">
        <f t="shared" si="25"/>
        <v>108000</v>
      </c>
      <c r="M121" s="50">
        <v>36000</v>
      </c>
      <c r="N121" s="50">
        <v>0</v>
      </c>
      <c r="O121" s="50">
        <v>0</v>
      </c>
      <c r="P121" s="50">
        <v>0</v>
      </c>
      <c r="Q121" s="159">
        <f t="shared" si="24"/>
        <v>144000</v>
      </c>
    </row>
    <row r="122" spans="1:17" ht="39" customHeight="1">
      <c r="A122" s="132" t="s">
        <v>140</v>
      </c>
      <c r="B122" s="371" t="s">
        <v>205</v>
      </c>
      <c r="C122" s="399" t="s">
        <v>204</v>
      </c>
      <c r="D122" s="397">
        <v>2011</v>
      </c>
      <c r="E122" s="397">
        <v>2013</v>
      </c>
      <c r="F122" s="397">
        <v>700</v>
      </c>
      <c r="G122" s="397">
        <v>70005</v>
      </c>
      <c r="H122" s="397">
        <v>4400</v>
      </c>
      <c r="I122" s="50">
        <v>9000</v>
      </c>
      <c r="J122" s="50">
        <v>3600</v>
      </c>
      <c r="K122" s="50"/>
      <c r="L122" s="50">
        <f t="shared" si="25"/>
        <v>3600</v>
      </c>
      <c r="M122" s="397">
        <v>1800</v>
      </c>
      <c r="N122" s="50">
        <v>0</v>
      </c>
      <c r="O122" s="50">
        <v>0</v>
      </c>
      <c r="P122" s="50">
        <v>0</v>
      </c>
      <c r="Q122" s="159">
        <f t="shared" si="24"/>
        <v>5400</v>
      </c>
    </row>
    <row r="123" spans="1:17" ht="39" customHeight="1">
      <c r="A123" s="132" t="s">
        <v>141</v>
      </c>
      <c r="B123" s="371" t="s">
        <v>379</v>
      </c>
      <c r="C123" s="523" t="s">
        <v>204</v>
      </c>
      <c r="D123" s="529">
        <v>2012</v>
      </c>
      <c r="E123" s="529">
        <v>2013</v>
      </c>
      <c r="F123" s="529">
        <v>700</v>
      </c>
      <c r="G123" s="529">
        <v>70005</v>
      </c>
      <c r="H123" s="529">
        <v>4400</v>
      </c>
      <c r="I123" s="50">
        <f>Q123</f>
        <v>5100</v>
      </c>
      <c r="J123" s="50">
        <v>3600</v>
      </c>
      <c r="K123" s="50"/>
      <c r="L123" s="50">
        <f>J123+K123</f>
        <v>3600</v>
      </c>
      <c r="M123" s="529">
        <v>1500</v>
      </c>
      <c r="N123" s="50">
        <v>0</v>
      </c>
      <c r="O123" s="50">
        <v>0</v>
      </c>
      <c r="P123" s="50">
        <v>0</v>
      </c>
      <c r="Q123" s="159">
        <f>SUM(L123:P123)</f>
        <v>5100</v>
      </c>
    </row>
    <row r="124" spans="1:17" ht="38.25" customHeight="1">
      <c r="A124" s="132" t="s">
        <v>208</v>
      </c>
      <c r="B124" s="371" t="s">
        <v>315</v>
      </c>
      <c r="C124" s="399" t="s">
        <v>204</v>
      </c>
      <c r="D124" s="397">
        <v>2012</v>
      </c>
      <c r="E124" s="397">
        <v>2016</v>
      </c>
      <c r="F124" s="397">
        <v>700</v>
      </c>
      <c r="G124" s="397">
        <v>70005</v>
      </c>
      <c r="H124" s="397">
        <v>4400</v>
      </c>
      <c r="I124" s="50">
        <f>Q124</f>
        <v>1738937</v>
      </c>
      <c r="J124" s="50">
        <v>385937</v>
      </c>
      <c r="K124" s="50"/>
      <c r="L124" s="50">
        <f>J124+K124</f>
        <v>385937</v>
      </c>
      <c r="M124" s="50">
        <v>369000</v>
      </c>
      <c r="N124" s="50">
        <v>369000</v>
      </c>
      <c r="O124" s="50">
        <v>369000</v>
      </c>
      <c r="P124" s="50">
        <v>246000</v>
      </c>
      <c r="Q124" s="159">
        <f t="shared" si="24"/>
        <v>1738937</v>
      </c>
    </row>
    <row r="125" spans="1:17" ht="21.75" customHeight="1">
      <c r="A125" s="132" t="s">
        <v>271</v>
      </c>
      <c r="B125" s="371" t="s">
        <v>322</v>
      </c>
      <c r="C125" s="501" t="s">
        <v>175</v>
      </c>
      <c r="D125" s="500">
        <v>2012</v>
      </c>
      <c r="E125" s="500">
        <v>2014</v>
      </c>
      <c r="F125" s="500">
        <v>700</v>
      </c>
      <c r="G125" s="500">
        <v>70005</v>
      </c>
      <c r="H125" s="500">
        <v>4400</v>
      </c>
      <c r="I125" s="50">
        <v>54255</v>
      </c>
      <c r="J125" s="50">
        <v>17555</v>
      </c>
      <c r="K125" s="50"/>
      <c r="L125" s="50">
        <f>J125+K125</f>
        <v>17555</v>
      </c>
      <c r="M125" s="50">
        <v>18100</v>
      </c>
      <c r="N125" s="50">
        <v>18600</v>
      </c>
      <c r="O125" s="50"/>
      <c r="P125" s="50"/>
      <c r="Q125" s="159">
        <f>SUM(L125:P125)</f>
        <v>54255</v>
      </c>
    </row>
    <row r="126" spans="1:17" ht="21.75" customHeight="1">
      <c r="A126" s="132" t="s">
        <v>272</v>
      </c>
      <c r="B126" s="371" t="s">
        <v>309</v>
      </c>
      <c r="C126" s="451" t="s">
        <v>175</v>
      </c>
      <c r="D126" s="450">
        <v>2011</v>
      </c>
      <c r="E126" s="450">
        <v>2012</v>
      </c>
      <c r="F126" s="450">
        <v>700</v>
      </c>
      <c r="G126" s="450">
        <v>70005</v>
      </c>
      <c r="H126" s="450">
        <v>4400</v>
      </c>
      <c r="I126" s="50">
        <v>73800</v>
      </c>
      <c r="J126" s="50">
        <v>67650</v>
      </c>
      <c r="K126" s="50"/>
      <c r="L126" s="50">
        <f t="shared" si="25"/>
        <v>67650</v>
      </c>
      <c r="M126" s="50"/>
      <c r="N126" s="50"/>
      <c r="O126" s="50"/>
      <c r="P126" s="50"/>
      <c r="Q126" s="159">
        <f t="shared" si="24"/>
        <v>67650</v>
      </c>
    </row>
    <row r="127" spans="1:17" ht="21" customHeight="1">
      <c r="A127" s="132" t="s">
        <v>273</v>
      </c>
      <c r="B127" s="371" t="s">
        <v>355</v>
      </c>
      <c r="C127" s="469" t="s">
        <v>175</v>
      </c>
      <c r="D127" s="468">
        <v>2011</v>
      </c>
      <c r="E127" s="468">
        <v>2014</v>
      </c>
      <c r="F127" s="468">
        <v>700</v>
      </c>
      <c r="G127" s="468">
        <v>70005</v>
      </c>
      <c r="H127" s="468">
        <v>4400</v>
      </c>
      <c r="I127" s="50">
        <v>570256</v>
      </c>
      <c r="J127" s="464">
        <v>177628</v>
      </c>
      <c r="K127" s="464"/>
      <c r="L127" s="50">
        <f t="shared" si="25"/>
        <v>177628</v>
      </c>
      <c r="M127" s="464">
        <v>208854</v>
      </c>
      <c r="N127" s="464">
        <v>183774</v>
      </c>
      <c r="O127" s="464"/>
      <c r="P127" s="50"/>
      <c r="Q127" s="159">
        <f t="shared" si="24"/>
        <v>570256</v>
      </c>
    </row>
    <row r="128" spans="1:20" ht="21.75" customHeight="1">
      <c r="A128" s="132" t="s">
        <v>274</v>
      </c>
      <c r="B128" s="470" t="s">
        <v>302</v>
      </c>
      <c r="C128" s="469" t="s">
        <v>303</v>
      </c>
      <c r="D128" s="468">
        <v>2011</v>
      </c>
      <c r="E128" s="468">
        <v>2016</v>
      </c>
      <c r="F128" s="468">
        <v>710</v>
      </c>
      <c r="G128" s="468">
        <v>71004</v>
      </c>
      <c r="H128" s="468">
        <v>4300</v>
      </c>
      <c r="I128" s="50">
        <f>Q128+101993</f>
        <v>1621185</v>
      </c>
      <c r="J128" s="50">
        <v>399192</v>
      </c>
      <c r="K128" s="50"/>
      <c r="L128" s="50">
        <f t="shared" si="25"/>
        <v>399192</v>
      </c>
      <c r="M128" s="50">
        <v>280000</v>
      </c>
      <c r="N128" s="50">
        <v>280000</v>
      </c>
      <c r="O128" s="50">
        <v>280000</v>
      </c>
      <c r="P128" s="50">
        <v>280000</v>
      </c>
      <c r="Q128" s="159">
        <f t="shared" si="24"/>
        <v>1519192</v>
      </c>
      <c r="R128" s="50">
        <v>280000</v>
      </c>
      <c r="S128" s="50"/>
      <c r="T128" s="159">
        <f>SUM(N128:R128)</f>
        <v>2639192</v>
      </c>
    </row>
    <row r="129" spans="1:20" ht="21.75" customHeight="1">
      <c r="A129" s="132" t="s">
        <v>275</v>
      </c>
      <c r="B129" s="371" t="s">
        <v>201</v>
      </c>
      <c r="C129" s="469" t="s">
        <v>202</v>
      </c>
      <c r="D129" s="468">
        <v>2011</v>
      </c>
      <c r="E129" s="468">
        <v>2013</v>
      </c>
      <c r="F129" s="468">
        <v>750</v>
      </c>
      <c r="G129" s="468">
        <v>75023</v>
      </c>
      <c r="H129" s="468">
        <v>4300</v>
      </c>
      <c r="I129" s="50">
        <v>549000</v>
      </c>
      <c r="J129" s="464">
        <v>183000</v>
      </c>
      <c r="K129" s="464"/>
      <c r="L129" s="50">
        <f t="shared" si="25"/>
        <v>183000</v>
      </c>
      <c r="M129" s="464">
        <v>183000</v>
      </c>
      <c r="N129" s="464">
        <v>0</v>
      </c>
      <c r="O129" s="464">
        <v>0</v>
      </c>
      <c r="P129" s="50">
        <v>0</v>
      </c>
      <c r="Q129" s="159">
        <f t="shared" si="24"/>
        <v>366000</v>
      </c>
      <c r="R129" s="471"/>
      <c r="S129" s="471"/>
      <c r="T129" s="396"/>
    </row>
    <row r="130" spans="1:20" ht="21.75" customHeight="1">
      <c r="A130" s="132" t="s">
        <v>276</v>
      </c>
      <c r="B130" s="371" t="s">
        <v>203</v>
      </c>
      <c r="C130" s="469" t="s">
        <v>202</v>
      </c>
      <c r="D130" s="468">
        <v>2011</v>
      </c>
      <c r="E130" s="468">
        <v>2012</v>
      </c>
      <c r="F130" s="468">
        <v>750</v>
      </c>
      <c r="G130" s="468">
        <v>75023</v>
      </c>
      <c r="H130" s="468">
        <v>4300</v>
      </c>
      <c r="I130" s="50">
        <v>8198</v>
      </c>
      <c r="J130" s="472">
        <v>4099</v>
      </c>
      <c r="K130" s="472"/>
      <c r="L130" s="50">
        <f t="shared" si="25"/>
        <v>4099</v>
      </c>
      <c r="M130" s="472">
        <v>0</v>
      </c>
      <c r="N130" s="464">
        <v>0</v>
      </c>
      <c r="O130" s="464">
        <v>0</v>
      </c>
      <c r="P130" s="50">
        <v>0</v>
      </c>
      <c r="Q130" s="159">
        <f t="shared" si="24"/>
        <v>4099</v>
      </c>
      <c r="R130" s="471"/>
      <c r="S130" s="471"/>
      <c r="T130" s="396"/>
    </row>
    <row r="131" spans="1:20" ht="38.25" customHeight="1">
      <c r="A131" s="132" t="s">
        <v>292</v>
      </c>
      <c r="B131" s="371" t="s">
        <v>241</v>
      </c>
      <c r="C131" s="469" t="s">
        <v>202</v>
      </c>
      <c r="D131" s="468">
        <v>2011</v>
      </c>
      <c r="E131" s="468">
        <v>2012</v>
      </c>
      <c r="F131" s="468">
        <v>750</v>
      </c>
      <c r="G131" s="468">
        <v>75023</v>
      </c>
      <c r="H131" s="468">
        <v>4300</v>
      </c>
      <c r="I131" s="50">
        <v>6360</v>
      </c>
      <c r="J131" s="472">
        <v>3180</v>
      </c>
      <c r="K131" s="472"/>
      <c r="L131" s="50">
        <f t="shared" si="25"/>
        <v>3180</v>
      </c>
      <c r="M131" s="472">
        <v>0</v>
      </c>
      <c r="N131" s="464">
        <v>0</v>
      </c>
      <c r="O131" s="464">
        <v>0</v>
      </c>
      <c r="P131" s="50">
        <v>0</v>
      </c>
      <c r="Q131" s="159">
        <f t="shared" si="24"/>
        <v>3180</v>
      </c>
      <c r="R131" s="471"/>
      <c r="S131" s="471"/>
      <c r="T131" s="396"/>
    </row>
    <row r="132" spans="1:20" ht="22.5" customHeight="1">
      <c r="A132" s="132" t="s">
        <v>293</v>
      </c>
      <c r="B132" s="371" t="s">
        <v>375</v>
      </c>
      <c r="C132" s="523" t="s">
        <v>277</v>
      </c>
      <c r="D132" s="527">
        <v>2011</v>
      </c>
      <c r="E132" s="527">
        <v>2016</v>
      </c>
      <c r="F132" s="527">
        <v>750</v>
      </c>
      <c r="G132" s="527">
        <v>75023</v>
      </c>
      <c r="H132" s="527">
        <v>4300</v>
      </c>
      <c r="I132" s="50">
        <f>Q132</f>
        <v>900000</v>
      </c>
      <c r="J132" s="50">
        <v>430000</v>
      </c>
      <c r="K132" s="50"/>
      <c r="L132" s="50">
        <f t="shared" si="25"/>
        <v>430000</v>
      </c>
      <c r="M132" s="50">
        <v>140000</v>
      </c>
      <c r="N132" s="50">
        <v>140000</v>
      </c>
      <c r="O132" s="50">
        <v>140000</v>
      </c>
      <c r="P132" s="50">
        <v>50000</v>
      </c>
      <c r="Q132" s="159">
        <f t="shared" si="24"/>
        <v>900000</v>
      </c>
      <c r="R132" s="471"/>
      <c r="S132" s="471"/>
      <c r="T132" s="396"/>
    </row>
    <row r="133" spans="1:20" ht="24" customHeight="1">
      <c r="A133" s="132" t="s">
        <v>299</v>
      </c>
      <c r="B133" s="371" t="s">
        <v>356</v>
      </c>
      <c r="C133" s="515" t="s">
        <v>324</v>
      </c>
      <c r="D133" s="514">
        <v>2012</v>
      </c>
      <c r="E133" s="514">
        <v>2014</v>
      </c>
      <c r="F133" s="514">
        <v>750</v>
      </c>
      <c r="G133" s="514">
        <v>75023</v>
      </c>
      <c r="H133" s="514">
        <v>4360</v>
      </c>
      <c r="I133" s="50">
        <f>Q133</f>
        <v>23800</v>
      </c>
      <c r="J133" s="464">
        <v>17050</v>
      </c>
      <c r="K133" s="472"/>
      <c r="L133" s="50">
        <f>J133+K133</f>
        <v>17050</v>
      </c>
      <c r="M133" s="472">
        <v>6650</v>
      </c>
      <c r="N133" s="464">
        <v>100</v>
      </c>
      <c r="O133" s="464"/>
      <c r="P133" s="50"/>
      <c r="Q133" s="159">
        <f>SUM(L133:P133)</f>
        <v>23800</v>
      </c>
      <c r="R133" s="471"/>
      <c r="S133" s="471"/>
      <c r="T133" s="396"/>
    </row>
    <row r="134" spans="1:20" ht="23.25" customHeight="1">
      <c r="A134" s="132" t="s">
        <v>304</v>
      </c>
      <c r="B134" s="371" t="s">
        <v>323</v>
      </c>
      <c r="C134" s="513" t="s">
        <v>324</v>
      </c>
      <c r="D134" s="511">
        <v>2012</v>
      </c>
      <c r="E134" s="511">
        <v>2013</v>
      </c>
      <c r="F134" s="511">
        <v>750</v>
      </c>
      <c r="G134" s="511">
        <v>75023</v>
      </c>
      <c r="H134" s="511">
        <v>4430</v>
      </c>
      <c r="I134" s="50">
        <f>Q134</f>
        <v>34000</v>
      </c>
      <c r="J134" s="464">
        <v>17000</v>
      </c>
      <c r="K134" s="472"/>
      <c r="L134" s="50">
        <f>J134+K134</f>
        <v>17000</v>
      </c>
      <c r="M134" s="472">
        <v>17000</v>
      </c>
      <c r="N134" s="464"/>
      <c r="O134" s="464"/>
      <c r="P134" s="50"/>
      <c r="Q134" s="159">
        <f>SUM(L134:P134)</f>
        <v>34000</v>
      </c>
      <c r="R134" s="471"/>
      <c r="S134" s="471"/>
      <c r="T134" s="396"/>
    </row>
    <row r="135" spans="1:20" ht="26.25" customHeight="1">
      <c r="A135" s="132" t="s">
        <v>330</v>
      </c>
      <c r="B135" s="371" t="s">
        <v>345</v>
      </c>
      <c r="C135" s="504" t="s">
        <v>324</v>
      </c>
      <c r="D135" s="503">
        <v>2012</v>
      </c>
      <c r="E135" s="503">
        <v>2014</v>
      </c>
      <c r="F135" s="503">
        <v>750</v>
      </c>
      <c r="G135" s="503">
        <v>75023</v>
      </c>
      <c r="H135" s="503">
        <v>4430</v>
      </c>
      <c r="I135" s="50">
        <f>Q135</f>
        <v>45000</v>
      </c>
      <c r="J135" s="464">
        <v>15000</v>
      </c>
      <c r="K135" s="472"/>
      <c r="L135" s="50">
        <f t="shared" si="25"/>
        <v>15000</v>
      </c>
      <c r="M135" s="472">
        <v>15000</v>
      </c>
      <c r="N135" s="464">
        <v>15000</v>
      </c>
      <c r="O135" s="464"/>
      <c r="P135" s="50"/>
      <c r="Q135" s="159">
        <f t="shared" si="24"/>
        <v>45000</v>
      </c>
      <c r="R135" s="471"/>
      <c r="S135" s="471"/>
      <c r="T135" s="396"/>
    </row>
    <row r="136" spans="1:20" ht="25.5" customHeight="1">
      <c r="A136" s="132" t="s">
        <v>331</v>
      </c>
      <c r="B136" s="470" t="s">
        <v>305</v>
      </c>
      <c r="C136" s="469" t="s">
        <v>202</v>
      </c>
      <c r="D136" s="468">
        <v>2011</v>
      </c>
      <c r="E136" s="468">
        <v>2012</v>
      </c>
      <c r="F136" s="468">
        <v>750</v>
      </c>
      <c r="G136" s="468">
        <v>75023</v>
      </c>
      <c r="H136" s="468">
        <v>4300</v>
      </c>
      <c r="I136" s="50">
        <v>79950</v>
      </c>
      <c r="J136" s="464">
        <v>73800</v>
      </c>
      <c r="K136" s="464"/>
      <c r="L136" s="50">
        <f t="shared" si="25"/>
        <v>73800</v>
      </c>
      <c r="M136" s="464"/>
      <c r="N136" s="463"/>
      <c r="O136" s="464"/>
      <c r="P136" s="50"/>
      <c r="Q136" s="159">
        <f t="shared" si="24"/>
        <v>73800</v>
      </c>
      <c r="R136" s="471"/>
      <c r="S136" s="471"/>
      <c r="T136" s="396"/>
    </row>
    <row r="137" spans="1:20" ht="24.75" customHeight="1">
      <c r="A137" s="132" t="s">
        <v>332</v>
      </c>
      <c r="B137" s="371" t="s">
        <v>320</v>
      </c>
      <c r="C137" s="499" t="s">
        <v>175</v>
      </c>
      <c r="D137" s="498">
        <v>2012</v>
      </c>
      <c r="E137" s="498">
        <v>2013</v>
      </c>
      <c r="F137" s="498">
        <v>750</v>
      </c>
      <c r="G137" s="498">
        <v>75023</v>
      </c>
      <c r="H137" s="498">
        <v>4300</v>
      </c>
      <c r="I137" s="50">
        <f aca="true" t="shared" si="26" ref="I137:I142">Q137</f>
        <v>2583</v>
      </c>
      <c r="J137" s="50">
        <v>1476</v>
      </c>
      <c r="K137" s="50"/>
      <c r="L137" s="50">
        <f t="shared" si="25"/>
        <v>1476</v>
      </c>
      <c r="M137" s="50">
        <v>1107</v>
      </c>
      <c r="N137" s="50">
        <v>0</v>
      </c>
      <c r="O137" s="50">
        <v>0</v>
      </c>
      <c r="P137" s="50">
        <v>0</v>
      </c>
      <c r="Q137" s="159">
        <f t="shared" si="24"/>
        <v>2583</v>
      </c>
      <c r="R137" s="471"/>
      <c r="S137" s="471"/>
      <c r="T137" s="396"/>
    </row>
    <row r="138" spans="1:20" ht="44.25" customHeight="1">
      <c r="A138" s="132" t="s">
        <v>333</v>
      </c>
      <c r="B138" s="371" t="s">
        <v>329</v>
      </c>
      <c r="C138" s="508" t="s">
        <v>324</v>
      </c>
      <c r="D138" s="506">
        <v>2012</v>
      </c>
      <c r="E138" s="506">
        <v>2013</v>
      </c>
      <c r="F138" s="506">
        <v>750</v>
      </c>
      <c r="G138" s="506">
        <v>75075</v>
      </c>
      <c r="H138" s="506">
        <v>4300</v>
      </c>
      <c r="I138" s="50">
        <f t="shared" si="26"/>
        <v>419510</v>
      </c>
      <c r="J138" s="50">
        <v>209755</v>
      </c>
      <c r="K138" s="50"/>
      <c r="L138" s="50">
        <f>J138</f>
        <v>209755</v>
      </c>
      <c r="M138" s="50">
        <v>209755</v>
      </c>
      <c r="N138" s="50"/>
      <c r="O138" s="50"/>
      <c r="P138" s="50"/>
      <c r="Q138" s="159">
        <f t="shared" si="24"/>
        <v>419510</v>
      </c>
      <c r="R138" s="471"/>
      <c r="S138" s="471"/>
      <c r="T138" s="396"/>
    </row>
    <row r="139" spans="1:20" ht="25.5" customHeight="1">
      <c r="A139" s="132" t="s">
        <v>334</v>
      </c>
      <c r="B139" s="371" t="s">
        <v>321</v>
      </c>
      <c r="C139" s="499" t="s">
        <v>175</v>
      </c>
      <c r="D139" s="498">
        <v>2012</v>
      </c>
      <c r="E139" s="498">
        <v>2013</v>
      </c>
      <c r="F139" s="498">
        <v>754</v>
      </c>
      <c r="G139" s="498">
        <v>75412</v>
      </c>
      <c r="H139" s="498">
        <v>4300</v>
      </c>
      <c r="I139" s="50">
        <f t="shared" si="26"/>
        <v>3813</v>
      </c>
      <c r="J139" s="50">
        <v>2952</v>
      </c>
      <c r="K139" s="50"/>
      <c r="L139" s="50">
        <f t="shared" si="25"/>
        <v>2952</v>
      </c>
      <c r="M139" s="50">
        <v>861</v>
      </c>
      <c r="N139" s="50">
        <v>0</v>
      </c>
      <c r="O139" s="50">
        <v>0</v>
      </c>
      <c r="P139" s="50">
        <v>0</v>
      </c>
      <c r="Q139" s="159">
        <f t="shared" si="24"/>
        <v>3813</v>
      </c>
      <c r="R139" s="471"/>
      <c r="S139" s="471"/>
      <c r="T139" s="396"/>
    </row>
    <row r="140" spans="1:20" ht="25.5" customHeight="1">
      <c r="A140" s="132" t="s">
        <v>335</v>
      </c>
      <c r="B140" s="371" t="s">
        <v>346</v>
      </c>
      <c r="C140" s="513" t="s">
        <v>175</v>
      </c>
      <c r="D140" s="511">
        <v>2012</v>
      </c>
      <c r="E140" s="511">
        <v>2014</v>
      </c>
      <c r="F140" s="511">
        <v>754</v>
      </c>
      <c r="G140" s="511">
        <v>75412</v>
      </c>
      <c r="H140" s="531">
        <v>4430</v>
      </c>
      <c r="I140" s="50">
        <f t="shared" si="26"/>
        <v>105000</v>
      </c>
      <c r="J140" s="50">
        <v>35000</v>
      </c>
      <c r="K140" s="50"/>
      <c r="L140" s="50">
        <f>J140+K140</f>
        <v>35000</v>
      </c>
      <c r="M140" s="50">
        <v>35000</v>
      </c>
      <c r="N140" s="50">
        <v>35000</v>
      </c>
      <c r="O140" s="50">
        <v>0</v>
      </c>
      <c r="P140" s="50">
        <v>0</v>
      </c>
      <c r="Q140" s="159">
        <f>SUM(L140:P140)</f>
        <v>105000</v>
      </c>
      <c r="R140" s="471"/>
      <c r="S140" s="471"/>
      <c r="T140" s="396"/>
    </row>
    <row r="141" spans="1:20" ht="25.5" customHeight="1">
      <c r="A141" s="132" t="s">
        <v>336</v>
      </c>
      <c r="B141" s="371" t="s">
        <v>347</v>
      </c>
      <c r="C141" s="513" t="s">
        <v>175</v>
      </c>
      <c r="D141" s="511">
        <v>2012</v>
      </c>
      <c r="E141" s="511">
        <v>2013</v>
      </c>
      <c r="F141" s="511">
        <v>754</v>
      </c>
      <c r="G141" s="511">
        <v>75412</v>
      </c>
      <c r="H141" s="531">
        <v>4430</v>
      </c>
      <c r="I141" s="50">
        <f t="shared" si="26"/>
        <v>11000</v>
      </c>
      <c r="J141" s="50">
        <v>5500</v>
      </c>
      <c r="K141" s="50"/>
      <c r="L141" s="50">
        <f>J141+K141</f>
        <v>5500</v>
      </c>
      <c r="M141" s="50">
        <v>5500</v>
      </c>
      <c r="N141" s="50">
        <v>0</v>
      </c>
      <c r="O141" s="50">
        <v>0</v>
      </c>
      <c r="P141" s="50">
        <v>0</v>
      </c>
      <c r="Q141" s="159">
        <f>SUM(L141:P141)</f>
        <v>11000</v>
      </c>
      <c r="R141" s="471"/>
      <c r="S141" s="471"/>
      <c r="T141" s="396"/>
    </row>
    <row r="142" spans="1:20" ht="25.5" customHeight="1">
      <c r="A142" s="132" t="s">
        <v>337</v>
      </c>
      <c r="B142" s="371" t="s">
        <v>356</v>
      </c>
      <c r="C142" s="515" t="s">
        <v>324</v>
      </c>
      <c r="D142" s="514">
        <v>2012</v>
      </c>
      <c r="E142" s="514">
        <v>2014</v>
      </c>
      <c r="F142" s="514">
        <v>754</v>
      </c>
      <c r="G142" s="514">
        <v>75023</v>
      </c>
      <c r="H142" s="514">
        <v>4360</v>
      </c>
      <c r="I142" s="50">
        <f t="shared" si="26"/>
        <v>2500</v>
      </c>
      <c r="J142" s="464">
        <v>1000</v>
      </c>
      <c r="K142" s="472"/>
      <c r="L142" s="50">
        <f>J142+K142</f>
        <v>1000</v>
      </c>
      <c r="M142" s="472">
        <v>1200</v>
      </c>
      <c r="N142" s="464">
        <v>300</v>
      </c>
      <c r="O142" s="464"/>
      <c r="P142" s="50"/>
      <c r="Q142" s="159">
        <f>SUM(L142:P142)</f>
        <v>2500</v>
      </c>
      <c r="R142" s="471"/>
      <c r="S142" s="471"/>
      <c r="T142" s="396"/>
    </row>
    <row r="143" spans="1:17" ht="24.75" customHeight="1">
      <c r="A143" s="132" t="s">
        <v>338</v>
      </c>
      <c r="B143" s="371" t="s">
        <v>269</v>
      </c>
      <c r="C143" s="401" t="s">
        <v>270</v>
      </c>
      <c r="D143" s="461">
        <v>2011</v>
      </c>
      <c r="E143" s="461">
        <v>2014</v>
      </c>
      <c r="F143" s="400">
        <v>801</v>
      </c>
      <c r="G143" s="400">
        <v>80101</v>
      </c>
      <c r="H143" s="400">
        <v>4260</v>
      </c>
      <c r="I143" s="50">
        <f>SUM(J143:N143)</f>
        <v>1380000</v>
      </c>
      <c r="J143" s="50">
        <v>330000</v>
      </c>
      <c r="K143" s="50"/>
      <c r="L143" s="50">
        <f t="shared" si="25"/>
        <v>330000</v>
      </c>
      <c r="M143" s="50">
        <v>350000</v>
      </c>
      <c r="N143" s="50">
        <v>370000</v>
      </c>
      <c r="O143" s="50"/>
      <c r="P143" s="50"/>
      <c r="Q143" s="159">
        <f t="shared" si="24"/>
        <v>1050000</v>
      </c>
    </row>
    <row r="144" spans="1:17" ht="24.75" customHeight="1">
      <c r="A144" s="132" t="s">
        <v>339</v>
      </c>
      <c r="B144" s="371" t="s">
        <v>359</v>
      </c>
      <c r="C144" s="517" t="s">
        <v>270</v>
      </c>
      <c r="D144" s="516">
        <v>2012</v>
      </c>
      <c r="E144" s="516">
        <v>2014</v>
      </c>
      <c r="F144" s="516">
        <v>801</v>
      </c>
      <c r="G144" s="516">
        <v>80101</v>
      </c>
      <c r="H144" s="516">
        <v>4300</v>
      </c>
      <c r="I144" s="50">
        <f>Q144</f>
        <v>7200</v>
      </c>
      <c r="J144" s="464">
        <v>2400</v>
      </c>
      <c r="K144" s="472"/>
      <c r="L144" s="50">
        <f>J144+K144</f>
        <v>2400</v>
      </c>
      <c r="M144" s="472">
        <v>2400</v>
      </c>
      <c r="N144" s="464">
        <v>2400</v>
      </c>
      <c r="O144" s="464"/>
      <c r="P144" s="50"/>
      <c r="Q144" s="159">
        <f>SUM(L144:P144)</f>
        <v>7200</v>
      </c>
    </row>
    <row r="145" spans="1:17" ht="24.75" customHeight="1">
      <c r="A145" s="132" t="s">
        <v>340</v>
      </c>
      <c r="B145" s="371" t="s">
        <v>356</v>
      </c>
      <c r="C145" s="517" t="s">
        <v>270</v>
      </c>
      <c r="D145" s="516">
        <v>2012</v>
      </c>
      <c r="E145" s="516">
        <v>2013</v>
      </c>
      <c r="F145" s="516">
        <v>801</v>
      </c>
      <c r="G145" s="516">
        <v>80101</v>
      </c>
      <c r="H145" s="516">
        <v>4360</v>
      </c>
      <c r="I145" s="50">
        <f>Q145</f>
        <v>22000</v>
      </c>
      <c r="J145" s="464">
        <v>11000</v>
      </c>
      <c r="K145" s="472"/>
      <c r="L145" s="50">
        <f>J145+K145</f>
        <v>11000</v>
      </c>
      <c r="M145" s="472">
        <v>11000</v>
      </c>
      <c r="N145" s="464"/>
      <c r="O145" s="464"/>
      <c r="P145" s="50"/>
      <c r="Q145" s="159">
        <f>SUM(L145:P145)</f>
        <v>22000</v>
      </c>
    </row>
    <row r="146" spans="1:17" ht="24.75" customHeight="1">
      <c r="A146" s="132" t="s">
        <v>341</v>
      </c>
      <c r="B146" s="371" t="s">
        <v>269</v>
      </c>
      <c r="C146" s="401" t="s">
        <v>270</v>
      </c>
      <c r="D146" s="461">
        <v>2011</v>
      </c>
      <c r="E146" s="461">
        <v>2014</v>
      </c>
      <c r="F146" s="400">
        <v>801</v>
      </c>
      <c r="G146" s="400">
        <v>80104</v>
      </c>
      <c r="H146" s="400">
        <v>4260</v>
      </c>
      <c r="I146" s="50">
        <f>SUM(J146:N146)</f>
        <v>329000</v>
      </c>
      <c r="J146" s="50">
        <v>78000</v>
      </c>
      <c r="K146" s="50"/>
      <c r="L146" s="50">
        <f t="shared" si="25"/>
        <v>78000</v>
      </c>
      <c r="M146" s="50">
        <v>84000</v>
      </c>
      <c r="N146" s="50">
        <v>89000</v>
      </c>
      <c r="O146" s="50"/>
      <c r="P146" s="50"/>
      <c r="Q146" s="159">
        <f t="shared" si="24"/>
        <v>251000</v>
      </c>
    </row>
    <row r="147" spans="1:17" ht="25.5" customHeight="1">
      <c r="A147" s="132" t="s">
        <v>342</v>
      </c>
      <c r="B147" s="371" t="s">
        <v>269</v>
      </c>
      <c r="C147" s="401" t="s">
        <v>270</v>
      </c>
      <c r="D147" s="461">
        <v>2011</v>
      </c>
      <c r="E147" s="461">
        <v>2014</v>
      </c>
      <c r="F147" s="400">
        <v>801</v>
      </c>
      <c r="G147" s="400">
        <v>80110</v>
      </c>
      <c r="H147" s="400">
        <v>4260</v>
      </c>
      <c r="I147" s="50">
        <f>SUM(J147:N147)</f>
        <v>690000</v>
      </c>
      <c r="J147" s="50">
        <v>160000</v>
      </c>
      <c r="K147" s="50"/>
      <c r="L147" s="50">
        <f t="shared" si="25"/>
        <v>160000</v>
      </c>
      <c r="M147" s="50">
        <v>180000</v>
      </c>
      <c r="N147" s="50">
        <v>190000</v>
      </c>
      <c r="O147" s="50"/>
      <c r="P147" s="50"/>
      <c r="Q147" s="159">
        <f t="shared" si="24"/>
        <v>530000</v>
      </c>
    </row>
    <row r="148" spans="1:17" ht="25.5" customHeight="1">
      <c r="A148" s="132" t="s">
        <v>343</v>
      </c>
      <c r="B148" s="371" t="s">
        <v>359</v>
      </c>
      <c r="C148" s="517" t="s">
        <v>270</v>
      </c>
      <c r="D148" s="516">
        <v>2012</v>
      </c>
      <c r="E148" s="516">
        <v>2014</v>
      </c>
      <c r="F148" s="516">
        <v>801</v>
      </c>
      <c r="G148" s="516">
        <v>80114</v>
      </c>
      <c r="H148" s="516">
        <v>4300</v>
      </c>
      <c r="I148" s="50">
        <f>Q148</f>
        <v>7200</v>
      </c>
      <c r="J148" s="464">
        <v>2400</v>
      </c>
      <c r="K148" s="472"/>
      <c r="L148" s="50">
        <f>J148+K148</f>
        <v>2400</v>
      </c>
      <c r="M148" s="472">
        <v>2400</v>
      </c>
      <c r="N148" s="464">
        <v>2400</v>
      </c>
      <c r="O148" s="464"/>
      <c r="P148" s="50"/>
      <c r="Q148" s="159">
        <f>SUM(L148:P148)</f>
        <v>7200</v>
      </c>
    </row>
    <row r="149" spans="1:17" ht="25.5" customHeight="1">
      <c r="A149" s="132" t="s">
        <v>352</v>
      </c>
      <c r="B149" s="371" t="s">
        <v>356</v>
      </c>
      <c r="C149" s="517" t="s">
        <v>270</v>
      </c>
      <c r="D149" s="516">
        <v>2012</v>
      </c>
      <c r="E149" s="516">
        <v>2013</v>
      </c>
      <c r="F149" s="516">
        <v>801</v>
      </c>
      <c r="G149" s="516">
        <v>80114</v>
      </c>
      <c r="H149" s="516">
        <v>4360</v>
      </c>
      <c r="I149" s="50">
        <f>Q149</f>
        <v>6000</v>
      </c>
      <c r="J149" s="464">
        <v>3000</v>
      </c>
      <c r="K149" s="472"/>
      <c r="L149" s="50">
        <f>J149+K149</f>
        <v>3000</v>
      </c>
      <c r="M149" s="472">
        <v>3000</v>
      </c>
      <c r="N149" s="464"/>
      <c r="O149" s="464"/>
      <c r="P149" s="50"/>
      <c r="Q149" s="159">
        <f>SUM(L149:P149)</f>
        <v>6000</v>
      </c>
    </row>
    <row r="150" spans="1:17" ht="24.75" customHeight="1">
      <c r="A150" s="132" t="s">
        <v>353</v>
      </c>
      <c r="B150" s="371" t="s">
        <v>269</v>
      </c>
      <c r="C150" s="401" t="s">
        <v>270</v>
      </c>
      <c r="D150" s="461">
        <v>2011</v>
      </c>
      <c r="E150" s="461">
        <v>2014</v>
      </c>
      <c r="F150" s="400">
        <v>801</v>
      </c>
      <c r="G150" s="400">
        <v>80148</v>
      </c>
      <c r="H150" s="400">
        <v>4260</v>
      </c>
      <c r="I150" s="50">
        <f>SUM(J150:N150)</f>
        <v>84000</v>
      </c>
      <c r="J150" s="50">
        <v>18000</v>
      </c>
      <c r="K150" s="50"/>
      <c r="L150" s="50">
        <f t="shared" si="25"/>
        <v>18000</v>
      </c>
      <c r="M150" s="50">
        <v>22000</v>
      </c>
      <c r="N150" s="50">
        <v>26000</v>
      </c>
      <c r="O150" s="50"/>
      <c r="P150" s="50"/>
      <c r="Q150" s="159">
        <f t="shared" si="24"/>
        <v>66000</v>
      </c>
    </row>
    <row r="151" spans="1:20" ht="51" customHeight="1">
      <c r="A151" s="132" t="s">
        <v>354</v>
      </c>
      <c r="B151" s="371" t="s">
        <v>297</v>
      </c>
      <c r="C151" s="462" t="s">
        <v>270</v>
      </c>
      <c r="D151" s="461">
        <v>2011</v>
      </c>
      <c r="E151" s="461">
        <v>2012</v>
      </c>
      <c r="F151" s="461">
        <v>801</v>
      </c>
      <c r="G151" s="461">
        <v>80101</v>
      </c>
      <c r="H151" s="461">
        <v>4300</v>
      </c>
      <c r="I151" s="50">
        <v>219696</v>
      </c>
      <c r="J151" s="463">
        <v>131817</v>
      </c>
      <c r="K151" s="463"/>
      <c r="L151" s="50">
        <f t="shared" si="25"/>
        <v>131817</v>
      </c>
      <c r="M151" s="464"/>
      <c r="N151" s="463"/>
      <c r="O151" s="50"/>
      <c r="P151" s="50"/>
      <c r="Q151" s="159">
        <f t="shared" si="24"/>
        <v>131817</v>
      </c>
      <c r="R151" s="50"/>
      <c r="S151" s="50"/>
      <c r="T151" s="159">
        <f>SUM(N151:R151)</f>
        <v>131817</v>
      </c>
    </row>
    <row r="152" spans="1:20" ht="41.25" customHeight="1">
      <c r="A152" s="132" t="s">
        <v>357</v>
      </c>
      <c r="B152" s="371" t="s">
        <v>298</v>
      </c>
      <c r="C152" s="462" t="s">
        <v>270</v>
      </c>
      <c r="D152" s="461">
        <v>2011</v>
      </c>
      <c r="E152" s="461">
        <v>2012</v>
      </c>
      <c r="F152" s="461">
        <v>801</v>
      </c>
      <c r="G152" s="461">
        <v>80101</v>
      </c>
      <c r="H152" s="461">
        <v>4300</v>
      </c>
      <c r="I152" s="50">
        <v>978303</v>
      </c>
      <c r="J152" s="463">
        <v>586982</v>
      </c>
      <c r="K152" s="463"/>
      <c r="L152" s="50">
        <f t="shared" si="25"/>
        <v>586982</v>
      </c>
      <c r="M152" s="464"/>
      <c r="N152" s="463"/>
      <c r="O152" s="50"/>
      <c r="P152" s="50"/>
      <c r="Q152" s="159">
        <f t="shared" si="24"/>
        <v>586982</v>
      </c>
      <c r="R152" s="50"/>
      <c r="S152" s="50"/>
      <c r="T152" s="159">
        <f>SUM(N152:R152)</f>
        <v>586982</v>
      </c>
    </row>
    <row r="153" spans="1:20" ht="24" customHeight="1">
      <c r="A153" s="132" t="s">
        <v>358</v>
      </c>
      <c r="B153" s="371" t="s">
        <v>348</v>
      </c>
      <c r="C153" s="517" t="s">
        <v>270</v>
      </c>
      <c r="D153" s="503">
        <v>2012</v>
      </c>
      <c r="E153" s="503">
        <v>2013</v>
      </c>
      <c r="F153" s="503">
        <v>801</v>
      </c>
      <c r="G153" s="503">
        <v>80101</v>
      </c>
      <c r="H153" s="503">
        <v>4430</v>
      </c>
      <c r="I153" s="50">
        <f aca="true" t="shared" si="27" ref="I153:I161">Q153</f>
        <v>44000</v>
      </c>
      <c r="J153" s="464">
        <v>22000</v>
      </c>
      <c r="K153" s="472"/>
      <c r="L153" s="50">
        <f aca="true" t="shared" si="28" ref="L153:L161">J153+K153</f>
        <v>22000</v>
      </c>
      <c r="M153" s="472">
        <v>22000</v>
      </c>
      <c r="N153" s="464"/>
      <c r="O153" s="464"/>
      <c r="P153" s="50"/>
      <c r="Q153" s="159">
        <f aca="true" t="shared" si="29" ref="Q153:Q161">SUM(L153:P153)</f>
        <v>44000</v>
      </c>
      <c r="R153" s="471"/>
      <c r="S153" s="471"/>
      <c r="T153" s="396"/>
    </row>
    <row r="154" spans="1:20" ht="25.5" customHeight="1">
      <c r="A154" s="132" t="s">
        <v>361</v>
      </c>
      <c r="B154" s="371" t="s">
        <v>349</v>
      </c>
      <c r="C154" s="517" t="s">
        <v>270</v>
      </c>
      <c r="D154" s="503">
        <v>2012</v>
      </c>
      <c r="E154" s="503">
        <v>2013</v>
      </c>
      <c r="F154" s="503">
        <v>801</v>
      </c>
      <c r="G154" s="503">
        <v>80104</v>
      </c>
      <c r="H154" s="503">
        <v>4430</v>
      </c>
      <c r="I154" s="50">
        <f t="shared" si="27"/>
        <v>2000</v>
      </c>
      <c r="J154" s="472">
        <v>1000</v>
      </c>
      <c r="K154" s="472"/>
      <c r="L154" s="50">
        <f t="shared" si="28"/>
        <v>1000</v>
      </c>
      <c r="M154" s="472">
        <v>1000</v>
      </c>
      <c r="N154" s="464"/>
      <c r="O154" s="464"/>
      <c r="P154" s="50"/>
      <c r="Q154" s="159">
        <f t="shared" si="29"/>
        <v>2000</v>
      </c>
      <c r="R154" s="471"/>
      <c r="S154" s="471"/>
      <c r="T154" s="396"/>
    </row>
    <row r="155" spans="1:20" ht="25.5" customHeight="1">
      <c r="A155" s="132" t="s">
        <v>362</v>
      </c>
      <c r="B155" s="371" t="s">
        <v>350</v>
      </c>
      <c r="C155" s="517" t="s">
        <v>270</v>
      </c>
      <c r="D155" s="503">
        <v>2012</v>
      </c>
      <c r="E155" s="503">
        <v>2013</v>
      </c>
      <c r="F155" s="503">
        <v>801</v>
      </c>
      <c r="G155" s="503">
        <v>80114</v>
      </c>
      <c r="H155" s="503">
        <v>4430</v>
      </c>
      <c r="I155" s="50">
        <f t="shared" si="27"/>
        <v>1000</v>
      </c>
      <c r="J155" s="472">
        <v>500</v>
      </c>
      <c r="K155" s="472"/>
      <c r="L155" s="50">
        <f t="shared" si="28"/>
        <v>500</v>
      </c>
      <c r="M155" s="472">
        <v>500</v>
      </c>
      <c r="N155" s="464"/>
      <c r="O155" s="464"/>
      <c r="P155" s="50"/>
      <c r="Q155" s="159">
        <f t="shared" si="29"/>
        <v>1000</v>
      </c>
      <c r="R155" s="471"/>
      <c r="S155" s="471"/>
      <c r="T155" s="396"/>
    </row>
    <row r="156" spans="1:20" ht="25.5" customHeight="1">
      <c r="A156" s="132" t="s">
        <v>363</v>
      </c>
      <c r="B156" s="371" t="s">
        <v>351</v>
      </c>
      <c r="C156" s="517" t="s">
        <v>360</v>
      </c>
      <c r="D156" s="503">
        <v>2012</v>
      </c>
      <c r="E156" s="503">
        <v>2013</v>
      </c>
      <c r="F156" s="503">
        <v>852</v>
      </c>
      <c r="G156" s="503">
        <v>85219</v>
      </c>
      <c r="H156" s="503">
        <v>4430</v>
      </c>
      <c r="I156" s="50">
        <f t="shared" si="27"/>
        <v>800</v>
      </c>
      <c r="J156" s="472">
        <v>400</v>
      </c>
      <c r="K156" s="472"/>
      <c r="L156" s="50">
        <f t="shared" si="28"/>
        <v>400</v>
      </c>
      <c r="M156" s="472">
        <v>400</v>
      </c>
      <c r="N156" s="464"/>
      <c r="O156" s="464"/>
      <c r="P156" s="50"/>
      <c r="Q156" s="159">
        <f t="shared" si="29"/>
        <v>800</v>
      </c>
      <c r="R156" s="471"/>
      <c r="S156" s="471"/>
      <c r="T156" s="396"/>
    </row>
    <row r="157" spans="1:20" ht="25.5" customHeight="1">
      <c r="A157" s="700">
        <v>48</v>
      </c>
      <c r="B157" s="697" t="s">
        <v>388</v>
      </c>
      <c r="C157" s="691" t="s">
        <v>270</v>
      </c>
      <c r="D157" s="695">
        <v>2012</v>
      </c>
      <c r="E157" s="695">
        <v>2013</v>
      </c>
      <c r="F157" s="695">
        <v>853</v>
      </c>
      <c r="G157" s="695">
        <v>85395</v>
      </c>
      <c r="H157" s="549">
        <v>4117</v>
      </c>
      <c r="I157" s="50">
        <f t="shared" si="27"/>
        <v>4394</v>
      </c>
      <c r="J157" s="472"/>
      <c r="K157" s="472">
        <v>1050</v>
      </c>
      <c r="L157" s="50">
        <f t="shared" si="28"/>
        <v>1050</v>
      </c>
      <c r="M157" s="472">
        <v>3344</v>
      </c>
      <c r="N157" s="464"/>
      <c r="O157" s="464"/>
      <c r="P157" s="50"/>
      <c r="Q157" s="159">
        <f t="shared" si="29"/>
        <v>4394</v>
      </c>
      <c r="R157" s="471"/>
      <c r="S157" s="471"/>
      <c r="T157" s="396"/>
    </row>
    <row r="158" spans="1:20" ht="25.5" customHeight="1">
      <c r="A158" s="656"/>
      <c r="B158" s="698"/>
      <c r="C158" s="702"/>
      <c r="D158" s="644"/>
      <c r="E158" s="644"/>
      <c r="F158" s="644"/>
      <c r="G158" s="644"/>
      <c r="H158" s="549">
        <v>4127</v>
      </c>
      <c r="I158" s="50">
        <f t="shared" si="27"/>
        <v>627</v>
      </c>
      <c r="J158" s="472"/>
      <c r="K158" s="472">
        <v>150</v>
      </c>
      <c r="L158" s="50">
        <f t="shared" si="28"/>
        <v>150</v>
      </c>
      <c r="M158" s="472">
        <v>477</v>
      </c>
      <c r="N158" s="464"/>
      <c r="O158" s="464"/>
      <c r="P158" s="50"/>
      <c r="Q158" s="159">
        <f t="shared" si="29"/>
        <v>627</v>
      </c>
      <c r="R158" s="471"/>
      <c r="S158" s="471"/>
      <c r="T158" s="396"/>
    </row>
    <row r="159" spans="1:20" ht="25.5" customHeight="1">
      <c r="A159" s="656"/>
      <c r="B159" s="698"/>
      <c r="C159" s="702"/>
      <c r="D159" s="644"/>
      <c r="E159" s="644"/>
      <c r="F159" s="644"/>
      <c r="G159" s="644"/>
      <c r="H159" s="549">
        <v>4177</v>
      </c>
      <c r="I159" s="50">
        <f t="shared" si="27"/>
        <v>35559</v>
      </c>
      <c r="J159" s="472"/>
      <c r="K159" s="472">
        <v>10100</v>
      </c>
      <c r="L159" s="50">
        <f t="shared" si="28"/>
        <v>10100</v>
      </c>
      <c r="M159" s="472">
        <v>25459</v>
      </c>
      <c r="N159" s="464"/>
      <c r="O159" s="464"/>
      <c r="P159" s="50"/>
      <c r="Q159" s="159">
        <f t="shared" si="29"/>
        <v>35559</v>
      </c>
      <c r="R159" s="471"/>
      <c r="S159" s="471"/>
      <c r="T159" s="396"/>
    </row>
    <row r="160" spans="1:20" ht="25.5" customHeight="1">
      <c r="A160" s="656"/>
      <c r="B160" s="698"/>
      <c r="C160" s="702"/>
      <c r="D160" s="644"/>
      <c r="E160" s="644"/>
      <c r="F160" s="644"/>
      <c r="G160" s="644"/>
      <c r="H160" s="549">
        <v>4217</v>
      </c>
      <c r="I160" s="50">
        <f t="shared" si="27"/>
        <v>4836</v>
      </c>
      <c r="J160" s="472"/>
      <c r="K160" s="472">
        <v>4000</v>
      </c>
      <c r="L160" s="50">
        <f t="shared" si="28"/>
        <v>4000</v>
      </c>
      <c r="M160" s="472">
        <v>836</v>
      </c>
      <c r="N160" s="464"/>
      <c r="O160" s="464"/>
      <c r="P160" s="50"/>
      <c r="Q160" s="159">
        <f t="shared" si="29"/>
        <v>4836</v>
      </c>
      <c r="R160" s="471"/>
      <c r="S160" s="471"/>
      <c r="T160" s="396"/>
    </row>
    <row r="161" spans="1:20" ht="25.5" customHeight="1">
      <c r="A161" s="701"/>
      <c r="B161" s="699"/>
      <c r="C161" s="703"/>
      <c r="D161" s="696"/>
      <c r="E161" s="696"/>
      <c r="F161" s="696"/>
      <c r="G161" s="696"/>
      <c r="H161" s="549">
        <v>4307</v>
      </c>
      <c r="I161" s="50">
        <f t="shared" si="27"/>
        <v>4454</v>
      </c>
      <c r="J161" s="472"/>
      <c r="K161" s="472">
        <v>1894</v>
      </c>
      <c r="L161" s="50">
        <f t="shared" si="28"/>
        <v>1894</v>
      </c>
      <c r="M161" s="472">
        <v>2560</v>
      </c>
      <c r="N161" s="464"/>
      <c r="O161" s="464"/>
      <c r="P161" s="50"/>
      <c r="Q161" s="159">
        <f t="shared" si="29"/>
        <v>4454</v>
      </c>
      <c r="R161" s="471"/>
      <c r="S161" s="471"/>
      <c r="T161" s="396"/>
    </row>
    <row r="162" spans="1:17" ht="24" customHeight="1">
      <c r="A162" s="132">
        <v>49</v>
      </c>
      <c r="B162" s="371" t="s">
        <v>264</v>
      </c>
      <c r="C162" s="451" t="s">
        <v>278</v>
      </c>
      <c r="D162" s="461">
        <v>2011</v>
      </c>
      <c r="E162" s="461">
        <v>2014</v>
      </c>
      <c r="F162" s="397">
        <v>900</v>
      </c>
      <c r="G162" s="397">
        <v>90002</v>
      </c>
      <c r="H162" s="397">
        <v>4300</v>
      </c>
      <c r="I162" s="50">
        <v>572000</v>
      </c>
      <c r="J162" s="50">
        <v>200000</v>
      </c>
      <c r="K162" s="50"/>
      <c r="L162" s="50">
        <f t="shared" si="25"/>
        <v>200000</v>
      </c>
      <c r="M162" s="50">
        <v>180000</v>
      </c>
      <c r="N162" s="50">
        <v>190000</v>
      </c>
      <c r="O162" s="50"/>
      <c r="P162" s="50"/>
      <c r="Q162" s="159">
        <f t="shared" si="24"/>
        <v>570000</v>
      </c>
    </row>
    <row r="163" spans="1:17" ht="25.5" customHeight="1">
      <c r="A163" s="132">
        <v>50</v>
      </c>
      <c r="B163" s="371" t="s">
        <v>260</v>
      </c>
      <c r="C163" s="451" t="s">
        <v>175</v>
      </c>
      <c r="D163" s="397">
        <v>2011</v>
      </c>
      <c r="E163" s="397">
        <v>2012</v>
      </c>
      <c r="F163" s="397">
        <v>900</v>
      </c>
      <c r="G163" s="397">
        <v>90003</v>
      </c>
      <c r="H163" s="397">
        <v>4300</v>
      </c>
      <c r="I163" s="50">
        <v>506000</v>
      </c>
      <c r="J163" s="50">
        <v>500000</v>
      </c>
      <c r="K163" s="50"/>
      <c r="L163" s="50">
        <f t="shared" si="25"/>
        <v>500000</v>
      </c>
      <c r="M163" s="50"/>
      <c r="N163" s="50"/>
      <c r="O163" s="50"/>
      <c r="P163" s="50"/>
      <c r="Q163" s="159">
        <f t="shared" si="24"/>
        <v>500000</v>
      </c>
    </row>
    <row r="164" spans="1:17" ht="24.75" customHeight="1">
      <c r="A164" s="132">
        <v>51</v>
      </c>
      <c r="B164" s="371" t="s">
        <v>259</v>
      </c>
      <c r="C164" s="451" t="s">
        <v>175</v>
      </c>
      <c r="D164" s="397">
        <v>2011</v>
      </c>
      <c r="E164" s="397">
        <v>2012</v>
      </c>
      <c r="F164" s="397">
        <v>900</v>
      </c>
      <c r="G164" s="397">
        <v>90004</v>
      </c>
      <c r="H164" s="397">
        <v>4300</v>
      </c>
      <c r="I164" s="50">
        <v>220000</v>
      </c>
      <c r="J164" s="50">
        <v>200000</v>
      </c>
      <c r="K164" s="50"/>
      <c r="L164" s="50">
        <f t="shared" si="25"/>
        <v>200000</v>
      </c>
      <c r="M164" s="50"/>
      <c r="N164" s="50"/>
      <c r="O164" s="50"/>
      <c r="P164" s="50"/>
      <c r="Q164" s="159">
        <f t="shared" si="24"/>
        <v>200000</v>
      </c>
    </row>
    <row r="165" spans="1:17" ht="24.75" customHeight="1">
      <c r="A165" s="132">
        <v>52</v>
      </c>
      <c r="B165" s="371" t="s">
        <v>291</v>
      </c>
      <c r="C165" s="451" t="s">
        <v>175</v>
      </c>
      <c r="D165" s="461">
        <v>2011</v>
      </c>
      <c r="E165" s="461">
        <v>2014</v>
      </c>
      <c r="F165" s="400">
        <v>900</v>
      </c>
      <c r="G165" s="400">
        <v>90015</v>
      </c>
      <c r="H165" s="400">
        <v>4260</v>
      </c>
      <c r="I165" s="50">
        <f>SUM(J165:N165)</f>
        <v>4010000</v>
      </c>
      <c r="J165" s="50">
        <v>980000</v>
      </c>
      <c r="K165" s="50"/>
      <c r="L165" s="50">
        <f t="shared" si="25"/>
        <v>980000</v>
      </c>
      <c r="M165" s="50">
        <v>1000000</v>
      </c>
      <c r="N165" s="50">
        <v>1050000</v>
      </c>
      <c r="O165" s="50"/>
      <c r="P165" s="50"/>
      <c r="Q165" s="159">
        <f t="shared" si="24"/>
        <v>3030000</v>
      </c>
    </row>
    <row r="166" spans="1:17" ht="25.5">
      <c r="A166" s="132">
        <v>53</v>
      </c>
      <c r="B166" s="371" t="s">
        <v>261</v>
      </c>
      <c r="C166" s="497" t="s">
        <v>175</v>
      </c>
      <c r="D166" s="496">
        <v>2011</v>
      </c>
      <c r="E166" s="496">
        <v>2012</v>
      </c>
      <c r="F166" s="496">
        <v>900</v>
      </c>
      <c r="G166" s="496">
        <v>90015</v>
      </c>
      <c r="H166" s="496">
        <v>4270</v>
      </c>
      <c r="I166" s="50">
        <v>254000</v>
      </c>
      <c r="J166" s="50">
        <v>250000</v>
      </c>
      <c r="K166" s="50"/>
      <c r="L166" s="50">
        <f>J166+K166</f>
        <v>250000</v>
      </c>
      <c r="M166" s="50"/>
      <c r="N166" s="50"/>
      <c r="O166" s="50"/>
      <c r="P166" s="50"/>
      <c r="Q166" s="159">
        <f>SUM(L166:P166)</f>
        <v>250000</v>
      </c>
    </row>
    <row r="167" spans="1:17" ht="12.75">
      <c r="A167" s="81"/>
      <c r="B167" s="81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81"/>
    </row>
    <row r="168" spans="1:3" ht="15">
      <c r="A168" s="36"/>
      <c r="B168" s="46"/>
      <c r="C168" s="47"/>
    </row>
    <row r="169" spans="1:3" ht="15">
      <c r="A169" s="36"/>
      <c r="B169" s="48"/>
      <c r="C169" s="47"/>
    </row>
    <row r="170" spans="1:3" ht="15">
      <c r="A170" s="49"/>
      <c r="B170" s="48"/>
      <c r="C170" s="47"/>
    </row>
    <row r="171" spans="1:3" ht="12.75">
      <c r="A171" s="36"/>
      <c r="B171" s="36"/>
      <c r="C171" s="47"/>
    </row>
  </sheetData>
  <sheetProtection/>
  <mergeCells count="95">
    <mergeCell ref="G157:G161"/>
    <mergeCell ref="B157:B161"/>
    <mergeCell ref="A157:A161"/>
    <mergeCell ref="C157:C161"/>
    <mergeCell ref="D157:D161"/>
    <mergeCell ref="E157:E161"/>
    <mergeCell ref="F157:F161"/>
    <mergeCell ref="G106:G107"/>
    <mergeCell ref="A105:A107"/>
    <mergeCell ref="B105:B107"/>
    <mergeCell ref="C105:C107"/>
    <mergeCell ref="D105:D107"/>
    <mergeCell ref="E105:E107"/>
    <mergeCell ref="F105:H105"/>
    <mergeCell ref="F106:F107"/>
    <mergeCell ref="F62:F63"/>
    <mergeCell ref="G62:G63"/>
    <mergeCell ref="H62:H63"/>
    <mergeCell ref="J60:P60"/>
    <mergeCell ref="Q60:Q63"/>
    <mergeCell ref="J61:L62"/>
    <mergeCell ref="M61:M63"/>
    <mergeCell ref="N61:N63"/>
    <mergeCell ref="O61:O63"/>
    <mergeCell ref="P61:P63"/>
    <mergeCell ref="F10:F11"/>
    <mergeCell ref="Q8:Q11"/>
    <mergeCell ref="A60:A63"/>
    <mergeCell ref="B60:B63"/>
    <mergeCell ref="C60:C63"/>
    <mergeCell ref="D60:E61"/>
    <mergeCell ref="F60:H61"/>
    <mergeCell ref="I60:I63"/>
    <mergeCell ref="D62:D63"/>
    <mergeCell ref="E62:E63"/>
    <mergeCell ref="F38:H38"/>
    <mergeCell ref="B24:B25"/>
    <mergeCell ref="F24:H24"/>
    <mergeCell ref="F51:H51"/>
    <mergeCell ref="J33:P33"/>
    <mergeCell ref="H35:H36"/>
    <mergeCell ref="F19:H19"/>
    <mergeCell ref="B20:B21"/>
    <mergeCell ref="F20:H20"/>
    <mergeCell ref="J9:L10"/>
    <mergeCell ref="G10:G11"/>
    <mergeCell ref="H10:H11"/>
    <mergeCell ref="I8:I11"/>
    <mergeCell ref="B8:B11"/>
    <mergeCell ref="C8:C11"/>
    <mergeCell ref="D10:D11"/>
    <mergeCell ref="A6:Q7"/>
    <mergeCell ref="D8:E9"/>
    <mergeCell ref="F8:H9"/>
    <mergeCell ref="J8:P8"/>
    <mergeCell ref="M9:M11"/>
    <mergeCell ref="N9:N11"/>
    <mergeCell ref="O9:O11"/>
    <mergeCell ref="P9:P11"/>
    <mergeCell ref="A8:A11"/>
    <mergeCell ref="E10:E11"/>
    <mergeCell ref="A33:A36"/>
    <mergeCell ref="B33:B36"/>
    <mergeCell ref="C33:C36"/>
    <mergeCell ref="D33:E34"/>
    <mergeCell ref="F33:H34"/>
    <mergeCell ref="I33:I36"/>
    <mergeCell ref="D35:D36"/>
    <mergeCell ref="E35:E36"/>
    <mergeCell ref="F35:F36"/>
    <mergeCell ref="G35:G36"/>
    <mergeCell ref="Q33:Q36"/>
    <mergeCell ref="J34:L35"/>
    <mergeCell ref="M34:M36"/>
    <mergeCell ref="N34:N36"/>
    <mergeCell ref="O34:O36"/>
    <mergeCell ref="P34:P36"/>
    <mergeCell ref="A92:A95"/>
    <mergeCell ref="B92:B95"/>
    <mergeCell ref="C92:C95"/>
    <mergeCell ref="D92:E93"/>
    <mergeCell ref="F92:H93"/>
    <mergeCell ref="D94:D95"/>
    <mergeCell ref="E94:E95"/>
    <mergeCell ref="F94:F95"/>
    <mergeCell ref="G94:G95"/>
    <mergeCell ref="H94:H95"/>
    <mergeCell ref="I92:I95"/>
    <mergeCell ref="J92:P92"/>
    <mergeCell ref="Q92:Q95"/>
    <mergeCell ref="J93:L94"/>
    <mergeCell ref="M93:M95"/>
    <mergeCell ref="N93:N95"/>
    <mergeCell ref="O93:O95"/>
    <mergeCell ref="P93:P95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2012-06-22T06:40:31Z</cp:lastPrinted>
  <dcterms:created xsi:type="dcterms:W3CDTF">2011-02-22T14:35:52Z</dcterms:created>
  <dcterms:modified xsi:type="dcterms:W3CDTF">2012-06-22T07:04:25Z</dcterms:modified>
  <cp:category/>
  <cp:version/>
  <cp:contentType/>
  <cp:contentStatus/>
</cp:coreProperties>
</file>