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75" activeTab="5"/>
  </bookViews>
  <sheets>
    <sheet name="spł poż" sheetId="1" r:id="rId1"/>
    <sheet name="spł obligacji" sheetId="2" r:id="rId2"/>
    <sheet name="Arkusz5" sheetId="3" r:id="rId3"/>
    <sheet name="WPF" sheetId="4" r:id="rId4"/>
    <sheet name="Prognoza długu" sheetId="5" r:id="rId5"/>
    <sheet name="Wykaz przedsięwzięć" sheetId="6" r:id="rId6"/>
  </sheets>
  <definedNames>
    <definedName name="_xlnm.Print_Area" localSheetId="4">'Prognoza długu'!$H$16</definedName>
  </definedNames>
  <calcPr fullCalcOnLoad="1"/>
</workbook>
</file>

<file path=xl/comments4.xml><?xml version="1.0" encoding="utf-8"?>
<comments xmlns="http://schemas.openxmlformats.org/spreadsheetml/2006/main">
  <authors>
    <author>UG</author>
  </authors>
  <commentList>
    <comment ref="B77" authorId="0">
      <text>
        <r>
          <rPr>
            <b/>
            <sz val="8"/>
            <rFont val="Tahoma"/>
            <family val="2"/>
          </rPr>
          <t>UG:</t>
        </r>
        <r>
          <rPr>
            <sz val="8"/>
            <rFont val="Tahoma"/>
            <family val="2"/>
          </rPr>
          <t xml:space="preserve">
</t>
        </r>
      </text>
    </comment>
    <comment ref="A77" authorId="0">
      <text>
        <r>
          <rPr>
            <b/>
            <sz val="8"/>
            <rFont val="Tahoma"/>
            <family val="2"/>
          </rPr>
          <t>UG: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UG</author>
  </authors>
  <commentList>
    <comment ref="A33" authorId="0">
      <text>
        <r>
          <rPr>
            <b/>
            <sz val="8"/>
            <rFont val="Tahoma"/>
            <family val="2"/>
          </rPr>
          <t>UG: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<sst xmlns="http://schemas.openxmlformats.org/spreadsheetml/2006/main" count="782" uniqueCount="379">
  <si>
    <t xml:space="preserve">Data </t>
  </si>
  <si>
    <t>kapitał</t>
  </si>
  <si>
    <t>raty</t>
  </si>
  <si>
    <t>odsetki</t>
  </si>
  <si>
    <t>raty roczne</t>
  </si>
  <si>
    <t>odsetki roczne</t>
  </si>
  <si>
    <t>10.09.2011</t>
  </si>
  <si>
    <t>10.12.2011</t>
  </si>
  <si>
    <t>10.03.2012</t>
  </si>
  <si>
    <t>10.06.2012</t>
  </si>
  <si>
    <t>10.09.2012</t>
  </si>
  <si>
    <t>10.12.2012</t>
  </si>
  <si>
    <t>10.03.2013</t>
  </si>
  <si>
    <t>10.06.2013</t>
  </si>
  <si>
    <t>10.09.2013</t>
  </si>
  <si>
    <t>10.12.2013</t>
  </si>
  <si>
    <t>10.03.2014</t>
  </si>
  <si>
    <t>10.06.2014</t>
  </si>
  <si>
    <t>10.09.2014</t>
  </si>
  <si>
    <t>10.12.2014</t>
  </si>
  <si>
    <t>10.03.2015</t>
  </si>
  <si>
    <t>10.06.2015</t>
  </si>
  <si>
    <t>10.09.2015</t>
  </si>
  <si>
    <t>10.12.2015</t>
  </si>
  <si>
    <t>10.03.2016</t>
  </si>
  <si>
    <t>10.06.2016</t>
  </si>
  <si>
    <t>10.09.2016</t>
  </si>
  <si>
    <t>10.12.2016</t>
  </si>
  <si>
    <t>10.03.2017</t>
  </si>
  <si>
    <t>10.06.2017</t>
  </si>
  <si>
    <t>10.09.2017</t>
  </si>
  <si>
    <t>10.12.2017</t>
  </si>
  <si>
    <t>10.03.2018</t>
  </si>
  <si>
    <t>10.06.2018</t>
  </si>
  <si>
    <t>10.09.2018</t>
  </si>
  <si>
    <t>10.12.2018</t>
  </si>
  <si>
    <t>10.03.2019</t>
  </si>
  <si>
    <t>10.06.2019</t>
  </si>
  <si>
    <t>10.09.2019</t>
  </si>
  <si>
    <t>10.12.2019</t>
  </si>
  <si>
    <t>10.03.2020</t>
  </si>
  <si>
    <t>10.06.2020</t>
  </si>
  <si>
    <t>10.09.2020</t>
  </si>
  <si>
    <t>10.12.2020</t>
  </si>
  <si>
    <t>10.03.2021</t>
  </si>
  <si>
    <t>10.06.2021</t>
  </si>
  <si>
    <t>10.09.2021</t>
  </si>
  <si>
    <t>10.12.2021</t>
  </si>
  <si>
    <t>Załącznik Nr 1</t>
  </si>
  <si>
    <t>Rady Gminy Lesznowola</t>
  </si>
  <si>
    <t>WIELOLETNIA  PROGNOZA  FINANSOWA  GMINY  LESZNOWOLA  NA LATA  2011 - 2021</t>
  </si>
  <si>
    <t>WIELOLETNIA  PROGNOZA  FINANSOWA  GMINY  LESZNOWOLA  NA LATA  2011 - 2019</t>
  </si>
  <si>
    <t>WIELOLETNIA  PROGNOZA  FINANSOWA  GMINY  LESZNOWOLA  NA LATA  2011 - 2022</t>
  </si>
  <si>
    <t>WIELOLETNIA  PROGNOZA  FINANSOWA  GMINY  LESZNOWOLA  NA LATA  2011 - 2023</t>
  </si>
  <si>
    <t>WIELOLETNIA  PROGNOZA  FINANSOWA  GMINY  LESZNOWOLA  NA LATA  2011 - 2024</t>
  </si>
  <si>
    <t>WIELOLETNIA  PROGNOZA  FINANSOWA  GMINY  LESZNOWOLA  NA LATA  2011 - 2025</t>
  </si>
  <si>
    <t>WIELOLETNIA  PROGNOZA  FINANSOWA  GMINY  LESZNOWOLA  NA LATA  2011 - 2026</t>
  </si>
  <si>
    <t>WIELOLETNIA  PROGNOZA  FINANSOWA  GMINY  LESZNOWOLA  NA LATA  2011 - 2027</t>
  </si>
  <si>
    <t>WIELOLETNIA  PROGNOZA  FINANSOWA  GMINY  LESZNOWOLA  NA LATA  2011 - 2028</t>
  </si>
  <si>
    <t>WIELOLETNIA  PROGNOZA  FINANSOWA  GMINY  LESZNOWOLA  NA LATA  2011 - 2029</t>
  </si>
  <si>
    <t>WIELOLETNIA  PROGNOZA  FINANSOWA  GMINY  LESZNOWOLA  NA LATA  2011 - 2030</t>
  </si>
  <si>
    <t>WIELOLETNIA  PROGNOZA  FINANSOWA  GMINY  LESZNOWOLA  NA LATA  2011 - 2031</t>
  </si>
  <si>
    <t>Lp.</t>
  </si>
  <si>
    <t>Wyszczególnienie</t>
  </si>
  <si>
    <t>WYKONANIE</t>
  </si>
  <si>
    <t>PROGNOZA</t>
  </si>
  <si>
    <t>Dochody ogółem, z tego:</t>
  </si>
  <si>
    <t>a)</t>
  </si>
  <si>
    <t>dochody bieżące</t>
  </si>
  <si>
    <t>b)</t>
  </si>
  <si>
    <t>dochody majątkowe, w tym:</t>
  </si>
  <si>
    <t>-</t>
  </si>
  <si>
    <t>w tym:</t>
  </si>
  <si>
    <t>ze sprzedaży majątku</t>
  </si>
  <si>
    <t>Wydatki bieżące ( bez odsetek i prowizji od kredytów i pożyczek oraz wyemitowanych papierów wartościowych) w tym:</t>
  </si>
  <si>
    <t>na wynagrodzenia i składki od nich naliczane</t>
  </si>
  <si>
    <t>związane z funkcjonowaniem organów JST</t>
  </si>
  <si>
    <t>c)</t>
  </si>
  <si>
    <t>z tytułu gwarancji i poręczeń, w tym:</t>
  </si>
  <si>
    <t>gwarancje i poręczenia podlegające wyłączeniu z limitów spłaty zobowiązań z art.. 243 ufp/169sufp</t>
  </si>
  <si>
    <t>d)</t>
  </si>
  <si>
    <t>wydatki bieżące objęte limitem art. 226 ust. 4 ufp</t>
  </si>
  <si>
    <t>X</t>
  </si>
  <si>
    <t>Wynik budżetu po wykonaniu wydatków bieżących (bez obsługi długu) (1-2)</t>
  </si>
  <si>
    <t xml:space="preserve">Nadwyżka budżetowa z lat ubiegłych plus wolne środki zgodnie z art.217 ufp, </t>
  </si>
  <si>
    <t>nadwyżka z lat ubiegłych plus wolne środki , zgodnie z art. 217 ufp angażowane na pokrycie deficytu budżetowego roku bieżącego</t>
  </si>
  <si>
    <t>Inne przychody nie związane z zaciągnięciem długu</t>
  </si>
  <si>
    <t>Środki do dyspozycji (3+4+5)</t>
  </si>
  <si>
    <t xml:space="preserve">Spłata i obsługa długu, z tego: </t>
  </si>
  <si>
    <t>rozchody z tytułu spłaty rat kapitałowych oraz wykupu papierów wartościowych</t>
  </si>
  <si>
    <t xml:space="preserve">pożyczki </t>
  </si>
  <si>
    <t>kredyty</t>
  </si>
  <si>
    <t>wykup obligacji</t>
  </si>
  <si>
    <t>wydatki bieżące na obsługę długu</t>
  </si>
  <si>
    <t>Inne rozchody ( bez spłaty  długu)</t>
  </si>
  <si>
    <t>Wydatki majątkowe, w tym:</t>
  </si>
  <si>
    <t>wydatki majątkowe objęte limitem art. 226 ust 4 ufp</t>
  </si>
  <si>
    <t>Przychody ( kredyty, pożyczki, emisje obligacji)</t>
  </si>
  <si>
    <t>emisja  obligacji</t>
  </si>
  <si>
    <t>Wolne środki jako nadwyżka środków pieniężnych na rachunku bieżącym budżetu gminy wynikających z rozliczeń kredytów i pożyczek z lat ubiegłych</t>
  </si>
  <si>
    <t>Nadwyżka z lat ubiegłych</t>
  </si>
  <si>
    <t>Wynik finansowy budżetu (9-10+11)</t>
  </si>
  <si>
    <t>Kwota długu w tym:</t>
  </si>
  <si>
    <t>łączna kwota wyłączeń z art. 243 ust.3 pkt 1 Ustawy o finansach publicznych z dnia 27 sierpnia 2009r. oraz z art. 170 ust. 3 Ustawy o finansach publicznych  z dnia 30 czerwca 2005r</t>
  </si>
  <si>
    <t>Kwota zobowiązań związku współtworzonego przez jst przypadająca do spłaty w danym roku budżetowym podlegająca doliczeniu zgodnie z art.. 244 Ustawy o finansach publicznych</t>
  </si>
  <si>
    <t xml:space="preserve">Limit obciążeń budzetu spłatą długu , kosztami jego obsługi oraz poręczenia i gwarancji - zgodnie z art.. 243 ust. 1 ustawy o finansach publicznych </t>
  </si>
  <si>
    <t>Obciążenia spłatami wg art.. 243 ustawy o finansach publicznych</t>
  </si>
  <si>
    <t>Realacja o której mowa w art.. 243 ustawy z dnia 27 sierpnia 2009r o finansach publicznych (17-18)</t>
  </si>
  <si>
    <t>Wydatki ogółem</t>
  </si>
  <si>
    <t xml:space="preserve">Wydatki bieżące </t>
  </si>
  <si>
    <t>Przychody budżetu</t>
  </si>
  <si>
    <t>Rozchody budżetu</t>
  </si>
  <si>
    <t>Załącznik Nr 2</t>
  </si>
  <si>
    <t>LP.</t>
  </si>
  <si>
    <t xml:space="preserve">PROGNOZA </t>
  </si>
  <si>
    <t>Kwota długu, w tym:</t>
  </si>
  <si>
    <t>Łączna kwota wyłączeń z art. 243 ust 3 pkt 1 ufp oraz z art. 170 ust 3 sufp</t>
  </si>
  <si>
    <t>2.</t>
  </si>
  <si>
    <t>Kwota zobowiązań związku współtworzonego przez JST przypadających do spłaty w danym roku budżetowym  podlegające doliczeniu zgodnie z art. 244 ufp</t>
  </si>
  <si>
    <t>3.</t>
  </si>
  <si>
    <t>Planowana łączna kwota spłaty zobowiązań</t>
  </si>
  <si>
    <t>4.</t>
  </si>
  <si>
    <t>Maksymalny dopuszczalny wskaźnik spłaty z art. 243 ufp</t>
  </si>
  <si>
    <t>5.</t>
  </si>
  <si>
    <t>Spełnienie wskaźnika spłaty z art. 243 ufp po uwzględnieniu art. 244 ufp</t>
  </si>
  <si>
    <t>6.</t>
  </si>
  <si>
    <t>Realacja o której mowa w art.. 243 ustawy z dnia 27 sierpnia 2009r o finansach publicznych (4-5)</t>
  </si>
  <si>
    <t>7.</t>
  </si>
  <si>
    <t>Planowana łączna kwota spłaty zobowiązań /dochody ogółem - max. 15% z art. 169 sufp</t>
  </si>
  <si>
    <t>8.</t>
  </si>
  <si>
    <t>Zadłużenie/dochody ogółem - max. 60% z art 170 sufp</t>
  </si>
  <si>
    <t>9.</t>
  </si>
  <si>
    <t>Dochody budżetowe</t>
  </si>
  <si>
    <t>dochody  bieżące</t>
  </si>
  <si>
    <t>10.</t>
  </si>
  <si>
    <t>Wydatki budzetowe</t>
  </si>
  <si>
    <t xml:space="preserve">wydatki bieżące </t>
  </si>
  <si>
    <t>wydatki majątkowe</t>
  </si>
  <si>
    <t>11.</t>
  </si>
  <si>
    <t>Prognozowany wynik budżetu                                                       ( dochody ogółem - wydatki ogółem)</t>
  </si>
  <si>
    <t>12.</t>
  </si>
  <si>
    <t>e)</t>
  </si>
  <si>
    <t>13.</t>
  </si>
  <si>
    <t>14.</t>
  </si>
  <si>
    <t>Wskaźnik pokrycia wydatków bieżących art. 242 UFP</t>
  </si>
  <si>
    <t>Załącznik Nr 3</t>
  </si>
  <si>
    <t>Nazwa i cel</t>
  </si>
  <si>
    <t xml:space="preserve">Jednostka odpowiedzialna </t>
  </si>
  <si>
    <t>Klasyfikacja budż</t>
  </si>
  <si>
    <t>Łączne nakłady finansowe</t>
  </si>
  <si>
    <t>Limit zobowiązań</t>
  </si>
  <si>
    <t>od</t>
  </si>
  <si>
    <t>do</t>
  </si>
  <si>
    <t xml:space="preserve">Dział </t>
  </si>
  <si>
    <t xml:space="preserve">Rozdz. </t>
  </si>
  <si>
    <t>§</t>
  </si>
  <si>
    <t xml:space="preserve">PRZEDSIĘWZIĘCIA  OGÓŁEM : </t>
  </si>
  <si>
    <t>- wydatki bieżące</t>
  </si>
  <si>
    <t>- wydatki majątkowe</t>
  </si>
  <si>
    <t>I.</t>
  </si>
  <si>
    <t>1.</t>
  </si>
  <si>
    <t>Programy, projekty lub zadania związane z programami realizowanymi z udziałem środków, o których mowa w art.. 5 ust. 1 pkt. 2 i 3 (razem)</t>
  </si>
  <si>
    <t>1.1</t>
  </si>
  <si>
    <t>Program Rozwoju Gospodarki Wodno- Ściekowej</t>
  </si>
  <si>
    <t>x</t>
  </si>
  <si>
    <t>1.1.1</t>
  </si>
  <si>
    <t>Kompleksowy program gospodarki ściekowej gminy Lesznowola</t>
  </si>
  <si>
    <t>UG-PRI</t>
  </si>
  <si>
    <t>Razem</t>
  </si>
  <si>
    <t>010</t>
  </si>
  <si>
    <t>01010</t>
  </si>
  <si>
    <t>1.1.2</t>
  </si>
  <si>
    <t>Kompleksowy program gospodarki wodnej gminy Lesznowola</t>
  </si>
  <si>
    <t>1.2</t>
  </si>
  <si>
    <t>Program Budownictwo Komunalne</t>
  </si>
  <si>
    <t>1.2.1</t>
  </si>
  <si>
    <t xml:space="preserve">Łazy - Aktualizacja projektu i budowa świetlicy </t>
  </si>
  <si>
    <t>UG - RDM</t>
  </si>
  <si>
    <t>1.2.2</t>
  </si>
  <si>
    <t xml:space="preserve">Magdalenka - Projekt i budowa świetlicy </t>
  </si>
  <si>
    <t>1.2.3</t>
  </si>
  <si>
    <t xml:space="preserve">Nowa Iwiczna - Projekt i budowa obiektu integracji społecznej wraz z zagospodarowaniem terenu </t>
  </si>
  <si>
    <t>1.2.4</t>
  </si>
  <si>
    <t xml:space="preserve">Podolszyn - Budowa świetlicy </t>
  </si>
  <si>
    <t>1.3</t>
  </si>
  <si>
    <t>Program Rozwoju Oświaty i Sportu</t>
  </si>
  <si>
    <t>1.3.1</t>
  </si>
  <si>
    <t>I etap</t>
  </si>
  <si>
    <t>II etap</t>
  </si>
  <si>
    <t>III etap</t>
  </si>
  <si>
    <t>Programy, projekty lub zadania pozostałe (razem)</t>
  </si>
  <si>
    <t>2.1</t>
  </si>
  <si>
    <t>Program Rozwoju Infrastruktury</t>
  </si>
  <si>
    <t>2.1.1</t>
  </si>
  <si>
    <t>60016</t>
  </si>
  <si>
    <t>2.1.2</t>
  </si>
  <si>
    <t>2.1.3</t>
  </si>
  <si>
    <t>Mysiadło i Nowa Iwiczna - Budowa odwodnienia</t>
  </si>
  <si>
    <t>2.1.4</t>
  </si>
  <si>
    <t xml:space="preserve">Wólka Kosowska - Projekt i budowa budynków socjalnych wraz z urządzeniem terenów rekreacyjno-sportowych </t>
  </si>
  <si>
    <t xml:space="preserve">Wólka Kosowska - Projekt i budowa przedszkola </t>
  </si>
  <si>
    <t>II</t>
  </si>
  <si>
    <t>Umowy, których realizacja w roku budżetowym i w latach następnych jest niezbędna dla zapewnienia ciągłości działania jednostki i których płatności przypadają w okresie dłuższym niż rok</t>
  </si>
  <si>
    <t xml:space="preserve">Najem lokalu użytkowego o pow. 23,3 m2  przy ul. Topolowej 2/199 w Mysiadle </t>
  </si>
  <si>
    <t>Prowadzenie obsługi prawnej Urzędu Gminy</t>
  </si>
  <si>
    <t>UG - ZP</t>
  </si>
  <si>
    <t xml:space="preserve">Konserwacja dźwigu osobowego </t>
  </si>
  <si>
    <t>UG - RGG</t>
  </si>
  <si>
    <t xml:space="preserve">Dzierżawa gruntu o pow. 1.000 m2 pod plac zabaw w Marysinie </t>
  </si>
  <si>
    <t xml:space="preserve">spłata pożyczki </t>
  </si>
  <si>
    <t>nadwyżka budżetowa z lat ubiegłych</t>
  </si>
  <si>
    <t>15.</t>
  </si>
  <si>
    <t xml:space="preserve">Finansowanie deficytu </t>
  </si>
  <si>
    <t>Przeznaczenie nadwyżki budżetowej</t>
  </si>
  <si>
    <t xml:space="preserve">spłata kredytow </t>
  </si>
  <si>
    <t>Emisja obligacji</t>
  </si>
  <si>
    <t>Środki do dyspozycji na wydatki majątkowe                       (6-7-8)</t>
  </si>
  <si>
    <t>emisja  obligacji na inwestycje</t>
  </si>
  <si>
    <t>emisja  obligacji spłatę wcześniej zaciągnietych zobowiązań</t>
  </si>
  <si>
    <t>Relacja z art.170 ustawy o finansach publicznych z dnia 30 czerwca 2005r.                    (max 60% ) 13/1</t>
  </si>
  <si>
    <t>Relacja z art.169 ustawy o finansach publicznych z dnia 30 czerwca 2005r.                    (max 15% )  7/1</t>
  </si>
  <si>
    <t>SYMULACJA
spłaty oraz  kosztówpożyczki planowanego na 2011 rok</t>
  </si>
  <si>
    <t>SYMULACJA
spłaty oraz  kosztów obligacji planowanych na 2011 rok</t>
  </si>
  <si>
    <t>stare pożyczki</t>
  </si>
  <si>
    <t>RAZEM</t>
  </si>
  <si>
    <t xml:space="preserve">kapit </t>
  </si>
  <si>
    <t>Odsetki</t>
  </si>
  <si>
    <t>Obigacje wyemitowane do 2010r</t>
  </si>
  <si>
    <t xml:space="preserve">Kapitał </t>
  </si>
  <si>
    <t>spłaty oraz  kosztów pożyczki  planowanego na 2012 rok</t>
  </si>
  <si>
    <t xml:space="preserve">Mysiadło - Projekt i budowa "Centrum Edukacji i Sportu" </t>
  </si>
  <si>
    <t>łączna kwota wyłączeń z art. 243 ust.3 pkt 1 Ustawy o finansach publicznych z dnia 27 sierpnia 2009r. oraz z art. 169 ust. 3 Ustawy o finansach publicznych  z dnia 30 czerwca 2005r. przypadająca na dany rok budżetowy</t>
  </si>
  <si>
    <t>Kwota wyłączeń z art. 243 us t3 pkt 1 ufp oraz z art.169 ust 3 sufp przypadająca na dany rok budżetowy</t>
  </si>
  <si>
    <t>Mysiadło- Projekt i adaptacja budynku przy ul. Osiedlowej - filia GOPS</t>
  </si>
  <si>
    <t xml:space="preserve">okres realizacji       </t>
  </si>
  <si>
    <t>1.2.5</t>
  </si>
  <si>
    <t>Mysiadło - Projekt oświetlenia ulic: Aronii, Porzeczkowej i Agrestowej</t>
  </si>
  <si>
    <t>1.2.6</t>
  </si>
  <si>
    <t>1.2.7</t>
  </si>
  <si>
    <t xml:space="preserve">Razem </t>
  </si>
  <si>
    <t>1.3.2</t>
  </si>
  <si>
    <t>1.3.3</t>
  </si>
  <si>
    <t xml:space="preserve">Wykonanie rocznych i pięcioletnich przeglądów tech obiektów budowlanych </t>
  </si>
  <si>
    <t xml:space="preserve">Wykonanie przeglądów serwisowych przepompowni wód deszczowych zamontowanych na terenie Gminy </t>
  </si>
  <si>
    <t>Dzierżawa gruntu o pow. 0,3000 ha położonej w pasie drogi publicznej gminnej ul. Torowej w N. Iwicznej - parking dla pojazdów</t>
  </si>
  <si>
    <t xml:space="preserve">Asysta techniczna przy eksploatacji Komputer Systemu Rejest Stanu Cywilnego </t>
  </si>
  <si>
    <t>1.1.3</t>
  </si>
  <si>
    <t>1.1.4</t>
  </si>
  <si>
    <t>1.2.8</t>
  </si>
  <si>
    <t>1.2.9</t>
  </si>
  <si>
    <t>Łazy II - Projekt budowy oświetlenia na drodze gminnej dz. nr. 44/72 i 46 (przy ul. Przyszłości-pkt świetlne)</t>
  </si>
  <si>
    <t>2.1.6</t>
  </si>
  <si>
    <t>2.1.7</t>
  </si>
  <si>
    <t>1.1.5</t>
  </si>
  <si>
    <t>1.1.6</t>
  </si>
  <si>
    <t>Łoziska - Budowa kanalizacji z przyłączami działki nr ew. 2/1, 2/2, 2/3, 56/11, 56/18, 56/23, 56/24, 56/26, 56/27, 224</t>
  </si>
  <si>
    <t xml:space="preserve">Warszawianka - Budowa wodociagu z przyłączami i kanalizacji grawitacyjnej z przyłączami na działkach nr ewid 23, 9/10, 9/11, 9/12, 9/13, 9/15, 9/16, 9/17, 9/18 </t>
  </si>
  <si>
    <t>Lesznowola - Projekt i budowa oświetlenia ul. Dworkowej  i Słonecznej (pkt świetlne)</t>
  </si>
  <si>
    <t>1.2.10</t>
  </si>
  <si>
    <t>Lesznowola - Projekt i  budowa  ul. Sportowej wraz z wytyczeniem geodezyjnym przebiegu drogi</t>
  </si>
  <si>
    <t>2.1.5</t>
  </si>
  <si>
    <t>2.1.8</t>
  </si>
  <si>
    <t>2.1.9</t>
  </si>
  <si>
    <t>2.1.10</t>
  </si>
  <si>
    <t>Remont dróg gminnych</t>
  </si>
  <si>
    <t>Konserwacja, nasadzenia zieleni i wycinka drzew</t>
  </si>
  <si>
    <t>Utrzymanie czystości i porządku</t>
  </si>
  <si>
    <t>Konserwacja oświetlenia ulicznego (pkt świetlne)</t>
  </si>
  <si>
    <t>1.1.7</t>
  </si>
  <si>
    <t>Programy, projekty lub zadania        ( razem)</t>
  </si>
  <si>
    <t>Wilcza Góra-Projekt  budowy ul. Jasnej z odwodnieniem</t>
  </si>
  <si>
    <t>Odławianie zwierząt</t>
  </si>
  <si>
    <t>Odśnieżanie dróg gminnych</t>
  </si>
  <si>
    <t xml:space="preserve">Nowa Wola - Moderniz, remont  ul. Plonowej I etap </t>
  </si>
  <si>
    <t>1.1.8</t>
  </si>
  <si>
    <t>Warszawianka - Budowa ciągu pieszo-jezdnego od ul. Rejonowej (vis a vis ul. Brzozowej) - ul. Sielankowa</t>
  </si>
  <si>
    <t>Zakup energii</t>
  </si>
  <si>
    <t>ZOPO</t>
  </si>
  <si>
    <t>16.</t>
  </si>
  <si>
    <t>17.</t>
  </si>
  <si>
    <t>18.</t>
  </si>
  <si>
    <t>19.</t>
  </si>
  <si>
    <t>20.</t>
  </si>
  <si>
    <t>21.</t>
  </si>
  <si>
    <t>UG-RDM</t>
  </si>
  <si>
    <t xml:space="preserve"> Nowa Iwiczna i Stara Iwiczna - Projekt kanalizacji deszczowej ul. Kielecka, ul. Cisowa, ul. Krasickiego i Al. Zgoda</t>
  </si>
  <si>
    <t xml:space="preserve">Lesznowola - Projekt rozbudowy ul. Okrężnej na odcinku od ul. Słonecznej do dz. nr. 278 </t>
  </si>
  <si>
    <t>Stachowo, Wólka Kosowska, PAN Kosów i Mroków - Projekt ul. Karasia z odwodnieniem</t>
  </si>
  <si>
    <t>UG - ROŚ</t>
  </si>
  <si>
    <t>Mysiadło- Projekt i przebudowa ul. Polnej wraz z odwodnieniem</t>
  </si>
  <si>
    <t>UG - RPI</t>
  </si>
  <si>
    <t>20 400 000,-zł</t>
  </si>
  <si>
    <t>20 000 000,-zł</t>
  </si>
  <si>
    <t>2.1.11</t>
  </si>
  <si>
    <t>Łazy - Projekt budowy ul. Spokojnej</t>
  </si>
  <si>
    <t>2.1.12</t>
  </si>
  <si>
    <t>2.1.13</t>
  </si>
  <si>
    <t>2.1.14</t>
  </si>
  <si>
    <t>2.1.15</t>
  </si>
  <si>
    <t>2.1.16</t>
  </si>
  <si>
    <t>Plan III kw. 2011</t>
  </si>
  <si>
    <t>WIELOLETNIA  PROGNOZA  FINANSOWA  GMINY  LESZNOWOLA  NA LATA  2012 - 2021</t>
  </si>
  <si>
    <t xml:space="preserve">Lesznowola-Projekt i budowa parkingu wraz z odwodnieniem przy Zespole Szkół Publicznych </t>
  </si>
  <si>
    <t>Zakup energii- oświetlenie ulic</t>
  </si>
  <si>
    <t>22.</t>
  </si>
  <si>
    <t>23.</t>
  </si>
  <si>
    <t xml:space="preserve">Magdalenka -Budowa ul. Okrężnej </t>
  </si>
  <si>
    <t>Magdalenka -Budowa ul. Modrzewiowej</t>
  </si>
  <si>
    <t>Magdalenka -Budowa ul. Jałowcowej</t>
  </si>
  <si>
    <t>Mysiadło- Projekt budowy zbiorników retencyjnych (sztuczne zbiorniki wód opadowych)</t>
  </si>
  <si>
    <t xml:space="preserve">Dowożenie i odwożenie dzieci niepełnosprawnych do placówek oświatowych w roku szkolnym 2011/2012 </t>
  </si>
  <si>
    <t>Transport uczniów do szkół i ze szkół w roku szkolnym 2011/2013</t>
  </si>
  <si>
    <t>24.</t>
  </si>
  <si>
    <t>PROGNOZA DŁUGU GMINY LESZNOWOLA NA LATA 2012- 2021</t>
  </si>
  <si>
    <t>Mysiadło -Budowa ul. Aronii i Porzeczkowej</t>
  </si>
  <si>
    <t>1.1.9</t>
  </si>
  <si>
    <t xml:space="preserve">Plany przestrzennego zagospodarowania </t>
  </si>
  <si>
    <t>UG-RUiPP</t>
  </si>
  <si>
    <t>25.</t>
  </si>
  <si>
    <t xml:space="preserve">Świadczenie usług pocztowych przez Pocztę </t>
  </si>
  <si>
    <t xml:space="preserve">Nowa Iwiczna - Projekt kanalizacji deszczowej ul. Willowa, Cicha i Krasickiego </t>
  </si>
  <si>
    <t>55 381 222,-zł</t>
  </si>
  <si>
    <t>Magdalenka -Proj i budowa ciągu pieszo-rowerowego - III etap</t>
  </si>
  <si>
    <t>Nowa Iwiczna - Projekt kanalizacji deszczowej ul. Wiosenna, Spacerowa, Zimowa i Graniczna  na odcinku od ul. Kwiatowej do ul. Mleczarskiej</t>
  </si>
  <si>
    <t>2.1.17</t>
  </si>
  <si>
    <t>Kolonia Lesznowola - Projekt  budowy ul. Krótkiej</t>
  </si>
  <si>
    <t xml:space="preserve">Najem lakalu na potrzeby świetlicy Nowa Iwiczna </t>
  </si>
  <si>
    <t>Plan przed zmianami</t>
  </si>
  <si>
    <t>Zmiany Uchwałą Rady Gminy</t>
  </si>
  <si>
    <t>Plan po zmianach</t>
  </si>
  <si>
    <t>Limit wydatków w poszczególnych latach</t>
  </si>
  <si>
    <t>WYKAZ PRZEDSIĘWZIĘĆ GMINY LESZNOWOLA  NA LATA 2012 - 2016  rok - po zmianach</t>
  </si>
  <si>
    <r>
      <t xml:space="preserve">Dzierżawa nieruchomości o nr. ew. 36/16   położonej w Nowej Iwicznej  </t>
    </r>
    <r>
      <rPr>
        <sz val="10"/>
        <rFont val="Cambria"/>
        <family val="1"/>
      </rPr>
      <t>- filia</t>
    </r>
  </si>
  <si>
    <t>Dzierżawa gruntu leśnego pod ścieżkę rowerową w Magdalence</t>
  </si>
  <si>
    <t>Udział w kosztach wspólnego biletu</t>
  </si>
  <si>
    <t>Przewóz osób - Linie autobusowe ZTM</t>
  </si>
  <si>
    <t>Monitoring świetlicy w Zgorzale</t>
  </si>
  <si>
    <t>Monitoring budynku Urzędu Gminy</t>
  </si>
  <si>
    <t>Monitoring budynków OSP</t>
  </si>
  <si>
    <t>Najem lakalu na potrzeby sołectwa Magdalenka</t>
  </si>
  <si>
    <t xml:space="preserve">Do Uchwały Nr </t>
  </si>
  <si>
    <t xml:space="preserve">z dnia </t>
  </si>
  <si>
    <t>Ubezpieczenie mienia</t>
  </si>
  <si>
    <t>UG-ZP</t>
  </si>
  <si>
    <t>Janczewice-Lesznowola - Projekt budowy ul. Żytniej wraz z kanalizacją deszczową</t>
  </si>
  <si>
    <t>Nowa Iwiczna - Projekt budowy ul. Willowej oraz kanalizacji deszczowej w ulicach: Willowej, Cichej , Krasickiego i działki nr. 31/40</t>
  </si>
  <si>
    <t xml:space="preserve">Lesznowola - Projekt i budowa  ul. Okrężnej </t>
  </si>
  <si>
    <t xml:space="preserve">Nowa Iwiczna - Projekt rozbudowy ul. Torowej </t>
  </si>
  <si>
    <t>2.1.18</t>
  </si>
  <si>
    <t>2.1.19</t>
  </si>
  <si>
    <t xml:space="preserve">Świadczenie usług w zakresie drukowania materiałów informacyjno-promocyjnych na potrzeby Urzędu Gminy Lesznowola  </t>
  </si>
  <si>
    <t>Mysiadło - Projekt budowy oświetlenia ulicy nr ewid. dz. 20/17, 31/6 i 22 (pkt świetlne)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</si>
  <si>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</si>
  <si>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</si>
  <si>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</si>
  <si>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</si>
  <si>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</si>
  <si>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</si>
  <si>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</si>
  <si>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</si>
  <si>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</si>
  <si>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</si>
  <si>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</si>
  <si>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</si>
  <si>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</si>
  <si>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</si>
  <si>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 xml:space="preserve">z dnia  </t>
  </si>
  <si>
    <t xml:space="preserve">Lesznowola - Projekt i  rozbudowa  ul. GRN  </t>
  </si>
  <si>
    <t>Ubezpieczenie samochodów- Urząd Gminy</t>
  </si>
  <si>
    <t>Ubezpieczenie samochodów OSP</t>
  </si>
  <si>
    <t>Ubezpieczenie NNW członków OSP</t>
  </si>
  <si>
    <t>Ubezpieczenie mienia - Szkoły</t>
  </si>
  <si>
    <t>Ubezpieczenie mienia - Przedszkola</t>
  </si>
  <si>
    <t>Ubezpieczenie mienia - ZOPO</t>
  </si>
  <si>
    <t>Ubezpieczenie mienia - GOPS</t>
  </si>
  <si>
    <t>40.</t>
  </si>
  <si>
    <t>41.</t>
  </si>
  <si>
    <t>42.</t>
  </si>
  <si>
    <t xml:space="preserve">Najem lokalu na potrzeby świetlicy Stara  Iwiczna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</si>
</sst>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\ mmm\ yy"/>
    <numFmt numFmtId="165" formatCode="#,##0.0000"/>
    <numFmt numFmtId="166" formatCode="d/mm/yyyy"/>
  </numFmts>
  <fonts count="58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7"/>
      <name val="Arial"/>
      <family val="2"/>
    </font>
    <font>
      <sz val="10"/>
      <name val="Cambria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Cambria"/>
      <family val="1"/>
    </font>
    <font>
      <b/>
      <sz val="12"/>
      <name val="Cambria"/>
      <family val="1"/>
    </font>
    <font>
      <b/>
      <u val="single"/>
      <sz val="12"/>
      <name val="Cambria"/>
      <family val="1"/>
    </font>
    <font>
      <b/>
      <u val="single"/>
      <sz val="14"/>
      <name val="Cambria"/>
      <family val="1"/>
    </font>
    <font>
      <sz val="12"/>
      <name val="Cambria"/>
      <family val="1"/>
    </font>
    <font>
      <sz val="7"/>
      <name val="Cambria"/>
      <family val="1"/>
    </font>
    <font>
      <b/>
      <sz val="14"/>
      <name val="Cambria"/>
      <family val="1"/>
    </font>
    <font>
      <b/>
      <sz val="20"/>
      <name val="Cambria"/>
      <family val="1"/>
    </font>
    <font>
      <sz val="9"/>
      <name val="Cambria"/>
      <family val="1"/>
    </font>
    <font>
      <b/>
      <sz val="16"/>
      <name val="Cambria"/>
      <family val="1"/>
    </font>
    <font>
      <b/>
      <sz val="9"/>
      <name val="Cambria"/>
      <family val="1"/>
    </font>
    <font>
      <i/>
      <sz val="10"/>
      <name val="Cambria"/>
      <family val="1"/>
    </font>
    <font>
      <i/>
      <sz val="12"/>
      <name val="Cambria"/>
      <family val="1"/>
    </font>
    <font>
      <b/>
      <i/>
      <sz val="12"/>
      <name val="Cambria"/>
      <family val="1"/>
    </font>
    <font>
      <sz val="11"/>
      <name val="Cambria"/>
      <family val="1"/>
    </font>
    <font>
      <i/>
      <sz val="11"/>
      <name val="Cambria"/>
      <family val="1"/>
    </font>
    <font>
      <b/>
      <i/>
      <sz val="10"/>
      <name val="Cambria"/>
      <family val="1"/>
    </font>
    <font>
      <b/>
      <i/>
      <sz val="11"/>
      <name val="Cambria"/>
      <family val="1"/>
    </font>
    <font>
      <sz val="8"/>
      <name val="Cambria"/>
      <family val="1"/>
    </font>
    <font>
      <b/>
      <sz val="6"/>
      <name val="Cambria"/>
      <family val="1"/>
    </font>
    <font>
      <b/>
      <sz val="7"/>
      <name val="Cambria"/>
      <family val="1"/>
    </font>
    <font>
      <b/>
      <sz val="8"/>
      <name val="Cambria"/>
      <family val="1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</fills>
  <borders count="1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/>
      <right/>
      <top style="medium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medium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medium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 style="thin"/>
      <right style="thin"/>
      <top style="thin"/>
      <bottom style="thin"/>
    </border>
    <border>
      <left/>
      <right/>
      <top style="hair">
        <color indexed="8"/>
      </top>
      <bottom style="medium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medium">
        <color indexed="8"/>
      </bottom>
    </border>
    <border>
      <left style="thin"/>
      <right style="thin"/>
      <top style="hair">
        <color indexed="8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/>
      <right style="thin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 style="thin"/>
      <top/>
      <bottom/>
    </border>
    <border>
      <left/>
      <right/>
      <top/>
      <bottom style="medium">
        <color indexed="8"/>
      </bottom>
    </border>
    <border>
      <left/>
      <right style="thin"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657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8" fillId="0" borderId="0" xfId="0" applyFont="1" applyAlignment="1">
      <alignment/>
    </xf>
    <xf numFmtId="164" fontId="19" fillId="0" borderId="10" xfId="0" applyNumberFormat="1" applyFont="1" applyBorder="1" applyAlignment="1">
      <alignment horizontal="center" vertical="top" wrapText="1"/>
    </xf>
    <xf numFmtId="1" fontId="19" fillId="0" borderId="11" xfId="0" applyNumberFormat="1" applyFont="1" applyBorder="1" applyAlignment="1">
      <alignment horizontal="center" vertical="top" wrapText="1"/>
    </xf>
    <xf numFmtId="3" fontId="19" fillId="0" borderId="11" xfId="0" applyNumberFormat="1" applyFont="1" applyBorder="1" applyAlignment="1">
      <alignment horizontal="center" vertical="top" wrapText="1"/>
    </xf>
    <xf numFmtId="3" fontId="20" fillId="0" borderId="11" xfId="0" applyNumberFormat="1" applyFont="1" applyBorder="1" applyAlignment="1">
      <alignment horizontal="center" vertical="top" wrapText="1"/>
    </xf>
    <xf numFmtId="3" fontId="18" fillId="0" borderId="11" xfId="0" applyNumberFormat="1" applyFont="1" applyBorder="1" applyAlignment="1">
      <alignment horizontal="center" vertical="top" wrapText="1"/>
    </xf>
    <xf numFmtId="3" fontId="20" fillId="0" borderId="12" xfId="0" applyNumberFormat="1" applyFont="1" applyBorder="1" applyAlignment="1">
      <alignment horizontal="center" vertical="top" wrapText="1"/>
    </xf>
    <xf numFmtId="164" fontId="21" fillId="0" borderId="13" xfId="0" applyNumberFormat="1" applyFont="1" applyBorder="1" applyAlignment="1">
      <alignment/>
    </xf>
    <xf numFmtId="1" fontId="21" fillId="0" borderId="14" xfId="0" applyNumberFormat="1" applyFont="1" applyBorder="1" applyAlignment="1">
      <alignment horizontal="center"/>
    </xf>
    <xf numFmtId="3" fontId="21" fillId="0" borderId="14" xfId="0" applyNumberFormat="1" applyFont="1" applyBorder="1" applyAlignment="1">
      <alignment horizontal="center" vertical="top" wrapText="1"/>
    </xf>
    <xf numFmtId="3" fontId="18" fillId="0" borderId="15" xfId="0" applyNumberFormat="1" applyFont="1" applyBorder="1" applyAlignment="1">
      <alignment horizontal="center" vertical="top" wrapText="1"/>
    </xf>
    <xf numFmtId="3" fontId="18" fillId="0" borderId="14" xfId="0" applyNumberFormat="1" applyFont="1" applyBorder="1" applyAlignment="1">
      <alignment/>
    </xf>
    <xf numFmtId="3" fontId="0" fillId="0" borderId="0" xfId="0" applyNumberFormat="1" applyAlignment="1">
      <alignment/>
    </xf>
    <xf numFmtId="1" fontId="21" fillId="0" borderId="16" xfId="0" applyNumberFormat="1" applyFont="1" applyBorder="1" applyAlignment="1">
      <alignment horizontal="center"/>
    </xf>
    <xf numFmtId="0" fontId="0" fillId="22" borderId="0" xfId="0" applyNumberFormat="1" applyFill="1" applyAlignment="1">
      <alignment/>
    </xf>
    <xf numFmtId="0" fontId="0" fillId="22" borderId="0" xfId="0" applyFill="1" applyAlignment="1">
      <alignment/>
    </xf>
    <xf numFmtId="3" fontId="0" fillId="22" borderId="0" xfId="0" applyNumberFormat="1" applyFill="1" applyAlignment="1">
      <alignment/>
    </xf>
    <xf numFmtId="0" fontId="0" fillId="0" borderId="0" xfId="0" applyFill="1" applyAlignment="1">
      <alignment/>
    </xf>
    <xf numFmtId="164" fontId="21" fillId="0" borderId="0" xfId="0" applyNumberFormat="1" applyFont="1" applyAlignment="1">
      <alignment/>
    </xf>
    <xf numFmtId="1" fontId="21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3" fontId="21" fillId="0" borderId="11" xfId="0" applyNumberFormat="1" applyFont="1" applyBorder="1" applyAlignment="1">
      <alignment horizontal="center" vertical="top" wrapText="1"/>
    </xf>
    <xf numFmtId="3" fontId="21" fillId="0" borderId="15" xfId="0" applyNumberFormat="1" applyFont="1" applyBorder="1" applyAlignment="1">
      <alignment horizontal="center" vertical="top" wrapText="1"/>
    </xf>
    <xf numFmtId="3" fontId="21" fillId="0" borderId="14" xfId="0" applyNumberFormat="1" applyFont="1" applyBorder="1" applyAlignment="1">
      <alignment/>
    </xf>
    <xf numFmtId="0" fontId="18" fillId="0" borderId="0" xfId="0" applyFont="1" applyFill="1" applyAlignment="1">
      <alignment/>
    </xf>
    <xf numFmtId="164" fontId="21" fillId="0" borderId="17" xfId="0" applyNumberFormat="1" applyFont="1" applyBorder="1" applyAlignment="1">
      <alignment/>
    </xf>
    <xf numFmtId="3" fontId="21" fillId="0" borderId="16" xfId="0" applyNumberFormat="1" applyFont="1" applyBorder="1" applyAlignment="1">
      <alignment horizontal="center" vertical="top" wrapText="1"/>
    </xf>
    <xf numFmtId="3" fontId="21" fillId="0" borderId="16" xfId="0" applyNumberFormat="1" applyFont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Alignment="1">
      <alignment wrapText="1"/>
    </xf>
    <xf numFmtId="0" fontId="23" fillId="0" borderId="0" xfId="0" applyFont="1" applyAlignment="1">
      <alignment/>
    </xf>
    <xf numFmtId="0" fontId="0" fillId="0" borderId="18" xfId="0" applyBorder="1" applyAlignment="1">
      <alignment/>
    </xf>
    <xf numFmtId="3" fontId="0" fillId="0" borderId="0" xfId="0" applyNumberFormat="1" applyAlignment="1">
      <alignment wrapText="1"/>
    </xf>
    <xf numFmtId="0" fontId="22" fillId="0" borderId="0" xfId="0" applyFont="1" applyAlignment="1">
      <alignment/>
    </xf>
    <xf numFmtId="0" fontId="0" fillId="0" borderId="0" xfId="0" applyBorder="1" applyAlignment="1">
      <alignment/>
    </xf>
    <xf numFmtId="0" fontId="24" fillId="0" borderId="0" xfId="0" applyFont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Border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Alignment="1">
      <alignment/>
    </xf>
    <xf numFmtId="0" fontId="0" fillId="6" borderId="0" xfId="0" applyFill="1" applyAlignment="1">
      <alignment/>
    </xf>
    <xf numFmtId="0" fontId="25" fillId="0" borderId="0" xfId="0" applyFont="1" applyAlignment="1">
      <alignment/>
    </xf>
    <xf numFmtId="3" fontId="23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21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22" fillId="0" borderId="0" xfId="0" applyFont="1" applyFill="1" applyBorder="1" applyAlignment="1">
      <alignment horizontal="right" wrapText="1"/>
    </xf>
    <xf numFmtId="0" fontId="22" fillId="0" borderId="0" xfId="0" applyFont="1" applyFill="1" applyBorder="1" applyAlignment="1">
      <alignment wrapText="1"/>
    </xf>
    <xf numFmtId="3" fontId="30" fillId="0" borderId="14" xfId="0" applyNumberFormat="1" applyFont="1" applyBorder="1" applyAlignment="1">
      <alignment horizontal="center" vertical="center" wrapText="1"/>
    </xf>
    <xf numFmtId="3" fontId="30" fillId="0" borderId="14" xfId="0" applyNumberFormat="1" applyFont="1" applyBorder="1" applyAlignment="1">
      <alignment horizontal="center" vertical="center"/>
    </xf>
    <xf numFmtId="3" fontId="30" fillId="0" borderId="14" xfId="0" applyNumberFormat="1" applyFont="1" applyFill="1" applyBorder="1" applyAlignment="1">
      <alignment horizontal="center" vertical="center"/>
    </xf>
    <xf numFmtId="0" fontId="30" fillId="0" borderId="14" xfId="0" applyFont="1" applyBorder="1" applyAlignment="1">
      <alignment horizontal="left" vertical="center" wrapText="1"/>
    </xf>
    <xf numFmtId="3" fontId="33" fillId="0" borderId="14" xfId="0" applyNumberFormat="1" applyFont="1" applyBorder="1" applyAlignment="1">
      <alignment horizontal="center" vertical="center"/>
    </xf>
    <xf numFmtId="3" fontId="30" fillId="0" borderId="14" xfId="0" applyNumberFormat="1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left" vertical="center" wrapText="1"/>
    </xf>
    <xf numFmtId="0" fontId="34" fillId="24" borderId="0" xfId="0" applyFont="1" applyFill="1" applyBorder="1" applyAlignment="1">
      <alignment vertical="center" wrapText="1"/>
    </xf>
    <xf numFmtId="0" fontId="35" fillId="24" borderId="0" xfId="0" applyFont="1" applyFill="1" applyBorder="1" applyAlignment="1">
      <alignment vertical="center"/>
    </xf>
    <xf numFmtId="0" fontId="36" fillId="0" borderId="0" xfId="0" applyFont="1" applyAlignment="1">
      <alignment vertical="center"/>
    </xf>
    <xf numFmtId="0" fontId="37" fillId="24" borderId="0" xfId="0" applyFont="1" applyFill="1" applyBorder="1" applyAlignment="1">
      <alignment vertical="center" wrapText="1"/>
    </xf>
    <xf numFmtId="0" fontId="34" fillId="24" borderId="0" xfId="0" applyFont="1" applyFill="1" applyBorder="1" applyAlignment="1">
      <alignment vertical="top" wrapText="1"/>
    </xf>
    <xf numFmtId="0" fontId="37" fillId="24" borderId="0" xfId="0" applyFont="1" applyFill="1" applyBorder="1" applyAlignment="1">
      <alignment vertical="top"/>
    </xf>
    <xf numFmtId="0" fontId="38" fillId="24" borderId="0" xfId="0" applyFont="1" applyFill="1" applyBorder="1" applyAlignment="1">
      <alignment vertical="center"/>
    </xf>
    <xf numFmtId="0" fontId="38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9" fillId="24" borderId="0" xfId="0" applyFont="1" applyFill="1" applyBorder="1" applyAlignment="1">
      <alignment vertical="top" wrapText="1"/>
    </xf>
    <xf numFmtId="0" fontId="30" fillId="24" borderId="0" xfId="0" applyFont="1" applyFill="1" applyBorder="1" applyAlignment="1">
      <alignment vertical="top"/>
    </xf>
    <xf numFmtId="0" fontId="33" fillId="24" borderId="0" xfId="0" applyFont="1" applyFill="1" applyBorder="1" applyAlignment="1">
      <alignment vertical="center"/>
    </xf>
    <xf numFmtId="0" fontId="34" fillId="0" borderId="0" xfId="0" applyFont="1" applyAlignment="1">
      <alignment vertical="center"/>
    </xf>
    <xf numFmtId="0" fontId="40" fillId="4" borderId="0" xfId="0" applyFont="1" applyFill="1" applyBorder="1" applyAlignment="1">
      <alignment horizontal="center" vertical="center" wrapText="1"/>
    </xf>
    <xf numFmtId="0" fontId="30" fillId="4" borderId="0" xfId="0" applyFont="1" applyFill="1" applyBorder="1" applyAlignment="1">
      <alignment/>
    </xf>
    <xf numFmtId="0" fontId="30" fillId="0" borderId="19" xfId="0" applyFont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0" fontId="33" fillId="0" borderId="13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3" fontId="30" fillId="24" borderId="14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wrapText="1"/>
    </xf>
    <xf numFmtId="3" fontId="30" fillId="0" borderId="0" xfId="0" applyNumberFormat="1" applyFont="1" applyAlignment="1">
      <alignment wrapText="1"/>
    </xf>
    <xf numFmtId="3" fontId="30" fillId="0" borderId="0" xfId="0" applyNumberFormat="1" applyFont="1" applyAlignment="1">
      <alignment/>
    </xf>
    <xf numFmtId="0" fontId="30" fillId="0" borderId="0" xfId="0" applyFont="1" applyAlignment="1">
      <alignment/>
    </xf>
    <xf numFmtId="0" fontId="34" fillId="0" borderId="20" xfId="0" applyNumberFormat="1" applyFont="1" applyFill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3" fontId="37" fillId="0" borderId="14" xfId="0" applyNumberFormat="1" applyFont="1" applyBorder="1" applyAlignment="1">
      <alignment horizontal="center" vertical="center" wrapText="1"/>
    </xf>
    <xf numFmtId="3" fontId="37" fillId="0" borderId="14" xfId="0" applyNumberFormat="1" applyFont="1" applyBorder="1" applyAlignment="1">
      <alignment horizontal="center" vertical="center"/>
    </xf>
    <xf numFmtId="3" fontId="37" fillId="0" borderId="14" xfId="0" applyNumberFormat="1" applyFont="1" applyFill="1" applyBorder="1" applyAlignment="1">
      <alignment horizontal="center" vertical="center"/>
    </xf>
    <xf numFmtId="0" fontId="34" fillId="0" borderId="21" xfId="0" applyFont="1" applyFill="1" applyBorder="1" applyAlignment="1">
      <alignment horizontal="center" vertical="center"/>
    </xf>
    <xf numFmtId="3" fontId="34" fillId="0" borderId="14" xfId="0" applyNumberFormat="1" applyFont="1" applyFill="1" applyBorder="1" applyAlignment="1">
      <alignment horizontal="center" vertical="center"/>
    </xf>
    <xf numFmtId="0" fontId="37" fillId="0" borderId="14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/>
    </xf>
    <xf numFmtId="3" fontId="34" fillId="0" borderId="14" xfId="0" applyNumberFormat="1" applyFont="1" applyBorder="1" applyAlignment="1">
      <alignment horizontal="center" vertical="center"/>
    </xf>
    <xf numFmtId="3" fontId="34" fillId="0" borderId="14" xfId="0" applyNumberFormat="1" applyFont="1" applyBorder="1" applyAlignment="1">
      <alignment horizontal="center" vertical="center" wrapText="1"/>
    </xf>
    <xf numFmtId="3" fontId="34" fillId="0" borderId="14" xfId="0" applyNumberFormat="1" applyFont="1" applyFill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textRotation="90"/>
    </xf>
    <xf numFmtId="3" fontId="37" fillId="0" borderId="14" xfId="0" applyNumberFormat="1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center" vertical="center"/>
    </xf>
    <xf numFmtId="0" fontId="37" fillId="0" borderId="22" xfId="0" applyFont="1" applyBorder="1" applyAlignment="1">
      <alignment horizontal="left" vertical="center"/>
    </xf>
    <xf numFmtId="0" fontId="22" fillId="0" borderId="23" xfId="0" applyFont="1" applyBorder="1" applyAlignment="1">
      <alignment horizontal="center" vertical="center"/>
    </xf>
    <xf numFmtId="0" fontId="22" fillId="0" borderId="23" xfId="0" applyFont="1" applyBorder="1" applyAlignment="1">
      <alignment horizontal="left" vertical="center"/>
    </xf>
    <xf numFmtId="0" fontId="22" fillId="0" borderId="23" xfId="0" applyFont="1" applyBorder="1" applyAlignment="1">
      <alignment horizontal="left" vertical="center" wrapText="1"/>
    </xf>
    <xf numFmtId="3" fontId="22" fillId="0" borderId="23" xfId="0" applyNumberFormat="1" applyFont="1" applyBorder="1" applyAlignment="1">
      <alignment horizontal="center" vertical="center"/>
    </xf>
    <xf numFmtId="3" fontId="22" fillId="0" borderId="23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 wrapText="1"/>
    </xf>
    <xf numFmtId="3" fontId="22" fillId="0" borderId="0" xfId="0" applyNumberFormat="1" applyFont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0" fontId="34" fillId="22" borderId="21" xfId="0" applyFont="1" applyFill="1" applyBorder="1" applyAlignment="1">
      <alignment horizontal="center" vertical="center"/>
    </xf>
    <xf numFmtId="3" fontId="34" fillId="22" borderId="14" xfId="0" applyNumberFormat="1" applyFont="1" applyFill="1" applyBorder="1" applyAlignment="1">
      <alignment horizontal="center" vertical="center"/>
    </xf>
    <xf numFmtId="3" fontId="34" fillId="22" borderId="14" xfId="0" applyNumberFormat="1" applyFont="1" applyFill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/>
    </xf>
    <xf numFmtId="4" fontId="34" fillId="0" borderId="14" xfId="0" applyNumberFormat="1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/>
    </xf>
    <xf numFmtId="165" fontId="34" fillId="0" borderId="14" xfId="0" applyNumberFormat="1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3" fontId="37" fillId="24" borderId="14" xfId="0" applyNumberFormat="1" applyFont="1" applyFill="1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/>
    </xf>
    <xf numFmtId="3" fontId="34" fillId="0" borderId="26" xfId="0" applyNumberFormat="1" applyFont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/>
    </xf>
    <xf numFmtId="0" fontId="37" fillId="0" borderId="18" xfId="0" applyFont="1" applyBorder="1" applyAlignment="1">
      <alignment/>
    </xf>
    <xf numFmtId="0" fontId="37" fillId="0" borderId="0" xfId="0" applyFont="1" applyAlignment="1">
      <alignment wrapText="1"/>
    </xf>
    <xf numFmtId="3" fontId="37" fillId="0" borderId="0" xfId="0" applyNumberFormat="1" applyFont="1" applyAlignment="1">
      <alignment wrapText="1"/>
    </xf>
    <xf numFmtId="3" fontId="3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4" fillId="0" borderId="27" xfId="0" applyFont="1" applyBorder="1" applyAlignment="1">
      <alignment horizontal="center" vertical="center"/>
    </xf>
    <xf numFmtId="0" fontId="42" fillId="24" borderId="0" xfId="0" applyFont="1" applyFill="1" applyBorder="1" applyAlignment="1">
      <alignment horizontal="right" vertical="top" wrapText="1"/>
    </xf>
    <xf numFmtId="0" fontId="30" fillId="24" borderId="0" xfId="0" applyFont="1" applyFill="1" applyBorder="1" applyAlignment="1">
      <alignment horizontal="right" vertical="top" wrapText="1"/>
    </xf>
    <xf numFmtId="0" fontId="34" fillId="22" borderId="26" xfId="0" applyNumberFormat="1" applyFont="1" applyFill="1" applyBorder="1" applyAlignment="1">
      <alignment horizontal="center" vertical="center"/>
    </xf>
    <xf numFmtId="3" fontId="34" fillId="22" borderId="26" xfId="0" applyNumberFormat="1" applyFont="1" applyFill="1" applyBorder="1" applyAlignment="1">
      <alignment horizontal="center" vertical="center" wrapText="1"/>
    </xf>
    <xf numFmtId="0" fontId="34" fillId="22" borderId="28" xfId="0" applyNumberFormat="1" applyFont="1" applyFill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3" fillId="0" borderId="30" xfId="0" applyFont="1" applyBorder="1" applyAlignment="1">
      <alignment horizontal="left" vertical="center" wrapText="1"/>
    </xf>
    <xf numFmtId="3" fontId="33" fillId="0" borderId="30" xfId="0" applyNumberFormat="1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22" borderId="13" xfId="0" applyFont="1" applyFill="1" applyBorder="1" applyAlignment="1">
      <alignment horizontal="center" vertical="center"/>
    </xf>
    <xf numFmtId="0" fontId="30" fillId="22" borderId="14" xfId="0" applyFont="1" applyFill="1" applyBorder="1" applyAlignment="1">
      <alignment horizontal="left" vertical="center" wrapText="1"/>
    </xf>
    <xf numFmtId="3" fontId="30" fillId="22" borderId="14" xfId="0" applyNumberFormat="1" applyFont="1" applyFill="1" applyBorder="1" applyAlignment="1">
      <alignment horizontal="center" vertical="center"/>
    </xf>
    <xf numFmtId="165" fontId="30" fillId="22" borderId="14" xfId="0" applyNumberFormat="1" applyFont="1" applyFill="1" applyBorder="1" applyAlignment="1">
      <alignment horizontal="center" vertical="center"/>
    </xf>
    <xf numFmtId="0" fontId="30" fillId="22" borderId="19" xfId="0" applyFont="1" applyFill="1" applyBorder="1" applyAlignment="1">
      <alignment horizontal="left" vertical="center" wrapText="1"/>
    </xf>
    <xf numFmtId="4" fontId="30" fillId="0" borderId="14" xfId="0" applyNumberFormat="1" applyFont="1" applyBorder="1" applyAlignment="1">
      <alignment horizontal="center" vertical="center"/>
    </xf>
    <xf numFmtId="0" fontId="33" fillId="0" borderId="14" xfId="0" applyFont="1" applyBorder="1" applyAlignment="1">
      <alignment horizontal="left" vertical="center" wrapText="1"/>
    </xf>
    <xf numFmtId="3" fontId="43" fillId="0" borderId="14" xfId="0" applyNumberFormat="1" applyFont="1" applyBorder="1" applyAlignment="1">
      <alignment horizontal="center" vertical="center"/>
    </xf>
    <xf numFmtId="3" fontId="41" fillId="0" borderId="14" xfId="0" applyNumberFormat="1" applyFont="1" applyBorder="1" applyAlignment="1">
      <alignment horizontal="center" vertical="center"/>
    </xf>
    <xf numFmtId="0" fontId="30" fillId="22" borderId="25" xfId="0" applyFont="1" applyFill="1" applyBorder="1" applyAlignment="1">
      <alignment horizontal="center" vertical="center"/>
    </xf>
    <xf numFmtId="0" fontId="30" fillId="22" borderId="26" xfId="0" applyFont="1" applyFill="1" applyBorder="1" applyAlignment="1">
      <alignment horizontal="left" vertical="center" wrapText="1"/>
    </xf>
    <xf numFmtId="4" fontId="30" fillId="22" borderId="26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Border="1" applyAlignment="1">
      <alignment vertical="top" wrapText="1"/>
    </xf>
    <xf numFmtId="0" fontId="35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3" fillId="4" borderId="31" xfId="0" applyFont="1" applyFill="1" applyBorder="1" applyAlignment="1">
      <alignment horizontal="center" vertical="center"/>
    </xf>
    <xf numFmtId="0" fontId="34" fillId="4" borderId="32" xfId="0" applyFont="1" applyFill="1" applyBorder="1" applyAlignment="1">
      <alignment horizontal="left" vertical="center" wrapText="1"/>
    </xf>
    <xf numFmtId="0" fontId="37" fillId="4" borderId="33" xfId="0" applyFont="1" applyFill="1" applyBorder="1" applyAlignment="1">
      <alignment horizontal="center" vertical="center" wrapText="1"/>
    </xf>
    <xf numFmtId="3" fontId="34" fillId="4" borderId="33" xfId="0" applyNumberFormat="1" applyFont="1" applyFill="1" applyBorder="1" applyAlignment="1">
      <alignment horizontal="center" vertical="center" wrapText="1"/>
    </xf>
    <xf numFmtId="3" fontId="33" fillId="4" borderId="33" xfId="0" applyNumberFormat="1" applyFont="1" applyFill="1" applyBorder="1" applyAlignment="1">
      <alignment horizontal="center" vertical="center" wrapText="1"/>
    </xf>
    <xf numFmtId="3" fontId="34" fillId="4" borderId="34" xfId="0" applyNumberFormat="1" applyFont="1" applyFill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5" fillId="0" borderId="35" xfId="0" applyFont="1" applyBorder="1" applyAlignment="1">
      <alignment horizontal="left" vertical="center" wrapText="1"/>
    </xf>
    <xf numFmtId="3" fontId="44" fillId="0" borderId="14" xfId="0" applyNumberFormat="1" applyFont="1" applyBorder="1" applyAlignment="1">
      <alignment horizontal="center" vertical="center" wrapText="1"/>
    </xf>
    <xf numFmtId="3" fontId="44" fillId="0" borderId="36" xfId="0" applyNumberFormat="1" applyFont="1" applyBorder="1" applyAlignment="1">
      <alignment horizontal="center" vertical="center"/>
    </xf>
    <xf numFmtId="0" fontId="33" fillId="4" borderId="13" xfId="0" applyFont="1" applyFill="1" applyBorder="1" applyAlignment="1">
      <alignment horizontal="center" vertical="center"/>
    </xf>
    <xf numFmtId="0" fontId="34" fillId="4" borderId="35" xfId="0" applyFont="1" applyFill="1" applyBorder="1" applyAlignment="1">
      <alignment horizontal="left" vertical="center" wrapText="1"/>
    </xf>
    <xf numFmtId="0" fontId="37" fillId="4" borderId="14" xfId="0" applyFont="1" applyFill="1" applyBorder="1" applyAlignment="1">
      <alignment horizontal="center" vertical="center" wrapText="1"/>
    </xf>
    <xf numFmtId="3" fontId="34" fillId="4" borderId="14" xfId="0" applyNumberFormat="1" applyFont="1" applyFill="1" applyBorder="1" applyAlignment="1">
      <alignment horizontal="center" vertical="center" wrapText="1"/>
    </xf>
    <xf numFmtId="3" fontId="33" fillId="4" borderId="14" xfId="0" applyNumberFormat="1" applyFont="1" applyFill="1" applyBorder="1" applyAlignment="1">
      <alignment horizontal="center" vertical="center" wrapText="1"/>
    </xf>
    <xf numFmtId="3" fontId="34" fillId="4" borderId="36" xfId="0" applyNumberFormat="1" applyFont="1" applyFill="1" applyBorder="1" applyAlignment="1">
      <alignment horizontal="center" vertical="center"/>
    </xf>
    <xf numFmtId="3" fontId="44" fillId="0" borderId="36" xfId="0" applyNumberFormat="1" applyFont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3" fontId="44" fillId="0" borderId="14" xfId="0" applyNumberFormat="1" applyFont="1" applyFill="1" applyBorder="1" applyAlignment="1">
      <alignment horizontal="center" vertical="center" wrapText="1"/>
    </xf>
    <xf numFmtId="0" fontId="30" fillId="0" borderId="37" xfId="0" applyFont="1" applyFill="1" applyBorder="1" applyAlignment="1">
      <alignment horizontal="center" vertical="center" wrapText="1"/>
    </xf>
    <xf numFmtId="3" fontId="30" fillId="0" borderId="37" xfId="0" applyNumberFormat="1" applyFont="1" applyFill="1" applyBorder="1" applyAlignment="1">
      <alignment horizontal="center" vertical="center" wrapText="1"/>
    </xf>
    <xf numFmtId="3" fontId="44" fillId="0" borderId="37" xfId="0" applyNumberFormat="1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center" vertical="center" wrapText="1"/>
    </xf>
    <xf numFmtId="3" fontId="44" fillId="0" borderId="38" xfId="0" applyNumberFormat="1" applyFont="1" applyBorder="1" applyAlignment="1">
      <alignment horizontal="center" vertical="center"/>
    </xf>
    <xf numFmtId="0" fontId="30" fillId="0" borderId="39" xfId="0" applyFont="1" applyFill="1" applyBorder="1" applyAlignment="1">
      <alignment horizontal="center" vertical="center" wrapText="1"/>
    </xf>
    <xf numFmtId="3" fontId="30" fillId="0" borderId="39" xfId="0" applyNumberFormat="1" applyFont="1" applyFill="1" applyBorder="1" applyAlignment="1">
      <alignment horizontal="center" vertical="center" wrapText="1"/>
    </xf>
    <xf numFmtId="3" fontId="44" fillId="0" borderId="39" xfId="0" applyNumberFormat="1" applyFont="1" applyFill="1" applyBorder="1" applyAlignment="1">
      <alignment horizontal="center" vertical="center" wrapText="1"/>
    </xf>
    <xf numFmtId="0" fontId="44" fillId="0" borderId="39" xfId="0" applyFont="1" applyFill="1" applyBorder="1" applyAlignment="1">
      <alignment horizontal="center" vertical="center" wrapText="1"/>
    </xf>
    <xf numFmtId="3" fontId="44" fillId="0" borderId="40" xfId="0" applyNumberFormat="1" applyFont="1" applyBorder="1" applyAlignment="1">
      <alignment horizontal="center" vertical="center"/>
    </xf>
    <xf numFmtId="0" fontId="30" fillId="0" borderId="41" xfId="0" applyFont="1" applyFill="1" applyBorder="1" applyAlignment="1">
      <alignment horizontal="center" vertical="center" wrapText="1"/>
    </xf>
    <xf numFmtId="3" fontId="30" fillId="0" borderId="41" xfId="0" applyNumberFormat="1" applyFont="1" applyFill="1" applyBorder="1" applyAlignment="1">
      <alignment horizontal="center" vertical="center" wrapText="1"/>
    </xf>
    <xf numFmtId="3" fontId="44" fillId="0" borderId="41" xfId="0" applyNumberFormat="1" applyFont="1" applyFill="1" applyBorder="1" applyAlignment="1">
      <alignment horizontal="center" vertical="center" wrapText="1"/>
    </xf>
    <xf numFmtId="0" fontId="44" fillId="0" borderId="41" xfId="0" applyFont="1" applyFill="1" applyBorder="1" applyAlignment="1">
      <alignment horizontal="center" vertical="center" wrapText="1"/>
    </xf>
    <xf numFmtId="3" fontId="44" fillId="0" borderId="42" xfId="0" applyNumberFormat="1" applyFont="1" applyBorder="1" applyAlignment="1">
      <alignment horizontal="center" vertical="center"/>
    </xf>
    <xf numFmtId="0" fontId="30" fillId="0" borderId="43" xfId="0" applyFont="1" applyFill="1" applyBorder="1" applyAlignment="1">
      <alignment horizontal="left" vertical="center" wrapText="1"/>
    </xf>
    <xf numFmtId="3" fontId="46" fillId="25" borderId="14" xfId="0" applyNumberFormat="1" applyFont="1" applyFill="1" applyBorder="1" applyAlignment="1">
      <alignment horizontal="center" vertical="center" wrapText="1"/>
    </xf>
    <xf numFmtId="3" fontId="30" fillId="0" borderId="16" xfId="0" applyNumberFormat="1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/>
    </xf>
    <xf numFmtId="0" fontId="30" fillId="0" borderId="44" xfId="0" applyFont="1" applyFill="1" applyBorder="1" applyAlignment="1">
      <alignment horizontal="center" vertical="center"/>
    </xf>
    <xf numFmtId="0" fontId="30" fillId="0" borderId="45" xfId="0" applyFont="1" applyFill="1" applyBorder="1" applyAlignment="1">
      <alignment horizontal="center" vertical="center" wrapText="1"/>
    </xf>
    <xf numFmtId="3" fontId="30" fillId="0" borderId="45" xfId="0" applyNumberFormat="1" applyFont="1" applyFill="1" applyBorder="1" applyAlignment="1">
      <alignment horizontal="center" vertical="center" wrapText="1"/>
    </xf>
    <xf numFmtId="3" fontId="44" fillId="0" borderId="45" xfId="0" applyNumberFormat="1" applyFont="1" applyFill="1" applyBorder="1" applyAlignment="1">
      <alignment horizontal="center" vertical="center" wrapText="1"/>
    </xf>
    <xf numFmtId="0" fontId="44" fillId="0" borderId="45" xfId="0" applyFont="1" applyFill="1" applyBorder="1" applyAlignment="1">
      <alignment horizontal="center" vertical="center" wrapText="1"/>
    </xf>
    <xf numFmtId="3" fontId="44" fillId="0" borderId="46" xfId="0" applyNumberFormat="1" applyFont="1" applyBorder="1" applyAlignment="1">
      <alignment horizontal="center" vertical="center"/>
    </xf>
    <xf numFmtId="0" fontId="30" fillId="0" borderId="47" xfId="0" applyFont="1" applyFill="1" applyBorder="1" applyAlignment="1">
      <alignment horizontal="center" vertical="center"/>
    </xf>
    <xf numFmtId="0" fontId="30" fillId="0" borderId="48" xfId="0" applyFont="1" applyFill="1" applyBorder="1" applyAlignment="1">
      <alignment horizontal="center" vertical="center"/>
    </xf>
    <xf numFmtId="0" fontId="30" fillId="0" borderId="49" xfId="0" applyFont="1" applyFill="1" applyBorder="1" applyAlignment="1">
      <alignment horizontal="right" vertical="center" wrapText="1"/>
    </xf>
    <xf numFmtId="0" fontId="30" fillId="0" borderId="50" xfId="0" applyFont="1" applyFill="1" applyBorder="1" applyAlignment="1">
      <alignment horizontal="center" vertical="center" wrapText="1"/>
    </xf>
    <xf numFmtId="3" fontId="30" fillId="0" borderId="50" xfId="0" applyNumberFormat="1" applyFont="1" applyFill="1" applyBorder="1" applyAlignment="1">
      <alignment horizontal="center" vertical="center" wrapText="1"/>
    </xf>
    <xf numFmtId="3" fontId="44" fillId="0" borderId="50" xfId="0" applyNumberFormat="1" applyFont="1" applyFill="1" applyBorder="1" applyAlignment="1">
      <alignment horizontal="center" vertical="center" wrapText="1"/>
    </xf>
    <xf numFmtId="0" fontId="44" fillId="0" borderId="50" xfId="0" applyFont="1" applyFill="1" applyBorder="1" applyAlignment="1">
      <alignment horizontal="center" vertical="center" wrapText="1"/>
    </xf>
    <xf numFmtId="3" fontId="44" fillId="0" borderId="51" xfId="0" applyNumberFormat="1" applyFont="1" applyBorder="1" applyAlignment="1">
      <alignment horizontal="center" vertical="center"/>
    </xf>
    <xf numFmtId="0" fontId="30" fillId="0" borderId="52" xfId="0" applyFont="1" applyFill="1" applyBorder="1" applyAlignment="1">
      <alignment horizontal="center" vertical="center" wrapText="1"/>
    </xf>
    <xf numFmtId="3" fontId="30" fillId="0" borderId="52" xfId="0" applyNumberFormat="1" applyFont="1" applyFill="1" applyBorder="1" applyAlignment="1">
      <alignment horizontal="center" vertical="center" wrapText="1"/>
    </xf>
    <xf numFmtId="0" fontId="44" fillId="0" borderId="52" xfId="0" applyFont="1" applyFill="1" applyBorder="1" applyAlignment="1">
      <alignment horizontal="center" vertical="center" wrapText="1"/>
    </xf>
    <xf numFmtId="0" fontId="30" fillId="0" borderId="53" xfId="0" applyFont="1" applyFill="1" applyBorder="1" applyAlignment="1">
      <alignment horizontal="center" vertical="center" wrapText="1"/>
    </xf>
    <xf numFmtId="3" fontId="30" fillId="0" borderId="53" xfId="0" applyNumberFormat="1" applyFont="1" applyFill="1" applyBorder="1" applyAlignment="1">
      <alignment horizontal="center" vertical="center" wrapText="1"/>
    </xf>
    <xf numFmtId="0" fontId="44" fillId="0" borderId="53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/>
    </xf>
    <xf numFmtId="0" fontId="45" fillId="0" borderId="35" xfId="0" applyFont="1" applyFill="1" applyBorder="1" applyAlignment="1">
      <alignment horizontal="left" vertical="center" wrapText="1"/>
    </xf>
    <xf numFmtId="0" fontId="45" fillId="0" borderId="14" xfId="0" applyFont="1" applyFill="1" applyBorder="1" applyAlignment="1">
      <alignment horizontal="center" vertical="center" wrapText="1"/>
    </xf>
    <xf numFmtId="2" fontId="30" fillId="0" borderId="35" xfId="0" applyNumberFormat="1" applyFont="1" applyFill="1" applyBorder="1" applyAlignment="1">
      <alignment horizontal="left" vertical="center" wrapText="1"/>
    </xf>
    <xf numFmtId="0" fontId="33" fillId="0" borderId="14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/>
    </xf>
    <xf numFmtId="0" fontId="30" fillId="0" borderId="23" xfId="0" applyFont="1" applyFill="1" applyBorder="1" applyAlignment="1">
      <alignment horizontal="left" vertical="center" wrapText="1"/>
    </xf>
    <xf numFmtId="3" fontId="30" fillId="0" borderId="23" xfId="0" applyNumberFormat="1" applyFont="1" applyBorder="1" applyAlignment="1">
      <alignment horizontal="center" vertical="center"/>
    </xf>
    <xf numFmtId="3" fontId="33" fillId="0" borderId="23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 wrapText="1"/>
    </xf>
    <xf numFmtId="3" fontId="30" fillId="0" borderId="0" xfId="0" applyNumberFormat="1" applyFont="1" applyBorder="1" applyAlignment="1">
      <alignment horizontal="center" vertical="center"/>
    </xf>
    <xf numFmtId="3" fontId="33" fillId="0" borderId="0" xfId="0" applyNumberFormat="1" applyFont="1" applyBorder="1" applyAlignment="1">
      <alignment horizontal="center" vertical="center"/>
    </xf>
    <xf numFmtId="3" fontId="34" fillId="26" borderId="14" xfId="0" applyNumberFormat="1" applyFont="1" applyFill="1" applyBorder="1" applyAlignment="1">
      <alignment horizontal="center" vertical="center"/>
    </xf>
    <xf numFmtId="3" fontId="34" fillId="27" borderId="14" xfId="0" applyNumberFormat="1" applyFont="1" applyFill="1" applyBorder="1" applyAlignment="1">
      <alignment horizontal="center" vertical="center" wrapText="1"/>
    </xf>
    <xf numFmtId="4" fontId="34" fillId="0" borderId="14" xfId="0" applyNumberFormat="1" applyFont="1" applyFill="1" applyBorder="1" applyAlignment="1">
      <alignment horizontal="center" vertical="center" wrapText="1"/>
    </xf>
    <xf numFmtId="165" fontId="34" fillId="0" borderId="14" xfId="0" applyNumberFormat="1" applyFont="1" applyFill="1" applyBorder="1" applyAlignment="1">
      <alignment horizontal="center" vertical="center" wrapText="1"/>
    </xf>
    <xf numFmtId="3" fontId="22" fillId="0" borderId="23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horizontal="center" vertical="center" wrapText="1"/>
    </xf>
    <xf numFmtId="3" fontId="34" fillId="0" borderId="26" xfId="0" applyNumberFormat="1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3" fontId="18" fillId="0" borderId="16" xfId="0" applyNumberFormat="1" applyFont="1" applyBorder="1" applyAlignment="1">
      <alignment/>
    </xf>
    <xf numFmtId="164" fontId="21" fillId="0" borderId="54" xfId="0" applyNumberFormat="1" applyFont="1" applyBorder="1" applyAlignment="1">
      <alignment/>
    </xf>
    <xf numFmtId="1" fontId="21" fillId="0" borderId="45" xfId="0" applyNumberFormat="1" applyFont="1" applyBorder="1" applyAlignment="1">
      <alignment horizontal="center"/>
    </xf>
    <xf numFmtId="3" fontId="21" fillId="0" borderId="45" xfId="0" applyNumberFormat="1" applyFont="1" applyBorder="1" applyAlignment="1">
      <alignment horizontal="center" vertical="top" wrapText="1"/>
    </xf>
    <xf numFmtId="3" fontId="18" fillId="0" borderId="45" xfId="0" applyNumberFormat="1" applyFont="1" applyBorder="1" applyAlignment="1">
      <alignment horizontal="center" vertical="top" wrapText="1"/>
    </xf>
    <xf numFmtId="3" fontId="18" fillId="0" borderId="45" xfId="0" applyNumberFormat="1" applyFont="1" applyBorder="1" applyAlignment="1">
      <alignment/>
    </xf>
    <xf numFmtId="164" fontId="21" fillId="0" borderId="55" xfId="0" applyNumberFormat="1" applyFont="1" applyBorder="1" applyAlignment="1">
      <alignment/>
    </xf>
    <xf numFmtId="1" fontId="21" fillId="0" borderId="39" xfId="0" applyNumberFormat="1" applyFont="1" applyBorder="1" applyAlignment="1">
      <alignment horizontal="center"/>
    </xf>
    <xf numFmtId="3" fontId="21" fillId="0" borderId="39" xfId="0" applyNumberFormat="1" applyFont="1" applyBorder="1" applyAlignment="1">
      <alignment horizontal="center" vertical="top" wrapText="1"/>
    </xf>
    <xf numFmtId="3" fontId="18" fillId="0" borderId="39" xfId="0" applyNumberFormat="1" applyFont="1" applyBorder="1" applyAlignment="1">
      <alignment horizontal="center" vertical="top" wrapText="1"/>
    </xf>
    <xf numFmtId="3" fontId="18" fillId="0" borderId="39" xfId="0" applyNumberFormat="1" applyFont="1" applyBorder="1" applyAlignment="1">
      <alignment/>
    </xf>
    <xf numFmtId="164" fontId="21" fillId="0" borderId="56" xfId="0" applyNumberFormat="1" applyFont="1" applyBorder="1" applyAlignment="1">
      <alignment/>
    </xf>
    <xf numFmtId="1" fontId="21" fillId="0" borderId="50" xfId="0" applyNumberFormat="1" applyFont="1" applyBorder="1" applyAlignment="1">
      <alignment horizontal="center"/>
    </xf>
    <xf numFmtId="3" fontId="21" fillId="0" borderId="50" xfId="0" applyNumberFormat="1" applyFont="1" applyBorder="1" applyAlignment="1">
      <alignment horizontal="center" vertical="top" wrapText="1"/>
    </xf>
    <xf numFmtId="3" fontId="18" fillId="0" borderId="50" xfId="0" applyNumberFormat="1" applyFont="1" applyBorder="1" applyAlignment="1">
      <alignment horizontal="center" vertical="top" wrapText="1"/>
    </xf>
    <xf numFmtId="3" fontId="18" fillId="0" borderId="50" xfId="0" applyNumberFormat="1" applyFont="1" applyBorder="1" applyAlignment="1">
      <alignment/>
    </xf>
    <xf numFmtId="164" fontId="21" fillId="22" borderId="55" xfId="0" applyNumberFormat="1" applyFont="1" applyFill="1" applyBorder="1" applyAlignment="1">
      <alignment/>
    </xf>
    <xf numFmtId="1" fontId="21" fillId="22" borderId="39" xfId="0" applyNumberFormat="1" applyFont="1" applyFill="1" applyBorder="1" applyAlignment="1">
      <alignment horizontal="center"/>
    </xf>
    <xf numFmtId="3" fontId="18" fillId="22" borderId="39" xfId="0" applyNumberFormat="1" applyFont="1" applyFill="1" applyBorder="1" applyAlignment="1">
      <alignment/>
    </xf>
    <xf numFmtId="164" fontId="21" fillId="22" borderId="56" xfId="0" applyNumberFormat="1" applyFont="1" applyFill="1" applyBorder="1" applyAlignment="1">
      <alignment/>
    </xf>
    <xf numFmtId="1" fontId="21" fillId="22" borderId="50" xfId="0" applyNumberFormat="1" applyFont="1" applyFill="1" applyBorder="1" applyAlignment="1">
      <alignment horizontal="center"/>
    </xf>
    <xf numFmtId="3" fontId="18" fillId="22" borderId="50" xfId="0" applyNumberFormat="1" applyFont="1" applyFill="1" applyBorder="1" applyAlignment="1">
      <alignment/>
    </xf>
    <xf numFmtId="164" fontId="21" fillId="22" borderId="57" xfId="0" applyNumberFormat="1" applyFont="1" applyFill="1" applyBorder="1" applyAlignment="1">
      <alignment/>
    </xf>
    <xf numFmtId="1" fontId="21" fillId="22" borderId="53" xfId="0" applyNumberFormat="1" applyFont="1" applyFill="1" applyBorder="1" applyAlignment="1">
      <alignment horizontal="center"/>
    </xf>
    <xf numFmtId="3" fontId="21" fillId="0" borderId="53" xfId="0" applyNumberFormat="1" applyFont="1" applyBorder="1" applyAlignment="1">
      <alignment horizontal="center" vertical="top" wrapText="1"/>
    </xf>
    <xf numFmtId="3" fontId="18" fillId="0" borderId="53" xfId="0" applyNumberFormat="1" applyFont="1" applyBorder="1" applyAlignment="1">
      <alignment horizontal="center" vertical="top" wrapText="1"/>
    </xf>
    <xf numFmtId="3" fontId="18" fillId="0" borderId="53" xfId="0" applyNumberFormat="1" applyFont="1" applyBorder="1" applyAlignment="1">
      <alignment/>
    </xf>
    <xf numFmtId="3" fontId="18" fillId="22" borderId="53" xfId="0" applyNumberFormat="1" applyFont="1" applyFill="1" applyBorder="1" applyAlignment="1">
      <alignment/>
    </xf>
    <xf numFmtId="164" fontId="21" fillId="22" borderId="54" xfId="0" applyNumberFormat="1" applyFont="1" applyFill="1" applyBorder="1" applyAlignment="1">
      <alignment/>
    </xf>
    <xf numFmtId="1" fontId="21" fillId="22" borderId="45" xfId="0" applyNumberFormat="1" applyFont="1" applyFill="1" applyBorder="1" applyAlignment="1">
      <alignment horizontal="center"/>
    </xf>
    <xf numFmtId="3" fontId="21" fillId="22" borderId="45" xfId="0" applyNumberFormat="1" applyFont="1" applyFill="1" applyBorder="1" applyAlignment="1">
      <alignment horizontal="center" vertical="top" wrapText="1"/>
    </xf>
    <xf numFmtId="3" fontId="18" fillId="22" borderId="45" xfId="0" applyNumberFormat="1" applyFont="1" applyFill="1" applyBorder="1" applyAlignment="1">
      <alignment/>
    </xf>
    <xf numFmtId="3" fontId="21" fillId="22" borderId="39" xfId="0" applyNumberFormat="1" applyFont="1" applyFill="1" applyBorder="1" applyAlignment="1">
      <alignment horizontal="center" vertical="top" wrapText="1"/>
    </xf>
    <xf numFmtId="3" fontId="21" fillId="22" borderId="50" xfId="0" applyNumberFormat="1" applyFont="1" applyFill="1" applyBorder="1" applyAlignment="1">
      <alignment horizontal="center" vertical="top" wrapText="1"/>
    </xf>
    <xf numFmtId="3" fontId="18" fillId="22" borderId="45" xfId="0" applyNumberFormat="1" applyFont="1" applyFill="1" applyBorder="1" applyAlignment="1">
      <alignment horizontal="center" vertical="top" wrapText="1"/>
    </xf>
    <xf numFmtId="3" fontId="18" fillId="22" borderId="39" xfId="0" applyNumberFormat="1" applyFont="1" applyFill="1" applyBorder="1" applyAlignment="1">
      <alignment horizontal="center" vertical="top" wrapText="1"/>
    </xf>
    <xf numFmtId="3" fontId="18" fillId="22" borderId="50" xfId="0" applyNumberFormat="1" applyFont="1" applyFill="1" applyBorder="1" applyAlignment="1">
      <alignment horizontal="center" vertical="top" wrapText="1"/>
    </xf>
    <xf numFmtId="3" fontId="21" fillId="22" borderId="53" xfId="0" applyNumberFormat="1" applyFont="1" applyFill="1" applyBorder="1" applyAlignment="1">
      <alignment horizontal="center" vertical="top" wrapText="1"/>
    </xf>
    <xf numFmtId="3" fontId="18" fillId="22" borderId="53" xfId="0" applyNumberFormat="1" applyFont="1" applyFill="1" applyBorder="1" applyAlignment="1">
      <alignment horizontal="center" vertical="top" wrapText="1"/>
    </xf>
    <xf numFmtId="3" fontId="20" fillId="0" borderId="58" xfId="0" applyNumberFormat="1" applyFont="1" applyBorder="1" applyAlignment="1">
      <alignment horizontal="center" vertical="top" wrapText="1"/>
    </xf>
    <xf numFmtId="3" fontId="18" fillId="0" borderId="19" xfId="0" applyNumberFormat="1" applyFont="1" applyBorder="1" applyAlignment="1">
      <alignment/>
    </xf>
    <xf numFmtId="3" fontId="18" fillId="0" borderId="59" xfId="0" applyNumberFormat="1" applyFont="1" applyBorder="1" applyAlignment="1">
      <alignment/>
    </xf>
    <xf numFmtId="3" fontId="18" fillId="0" borderId="60" xfId="0" applyNumberFormat="1" applyFont="1" applyBorder="1" applyAlignment="1">
      <alignment/>
    </xf>
    <xf numFmtId="3" fontId="18" fillId="0" borderId="61" xfId="0" applyNumberFormat="1" applyFont="1" applyBorder="1" applyAlignment="1">
      <alignment/>
    </xf>
    <xf numFmtId="3" fontId="18" fillId="0" borderId="62" xfId="0" applyNumberFormat="1" applyFont="1" applyBorder="1" applyAlignment="1">
      <alignment/>
    </xf>
    <xf numFmtId="3" fontId="18" fillId="22" borderId="61" xfId="0" applyNumberFormat="1" applyFont="1" applyFill="1" applyBorder="1" applyAlignment="1">
      <alignment/>
    </xf>
    <xf numFmtId="3" fontId="18" fillId="22" borderId="62" xfId="0" applyNumberFormat="1" applyFont="1" applyFill="1" applyBorder="1" applyAlignment="1">
      <alignment/>
    </xf>
    <xf numFmtId="3" fontId="18" fillId="22" borderId="60" xfId="0" applyNumberFormat="1" applyFont="1" applyFill="1" applyBorder="1" applyAlignment="1">
      <alignment/>
    </xf>
    <xf numFmtId="3" fontId="18" fillId="22" borderId="63" xfId="0" applyNumberFormat="1" applyFont="1" applyFill="1" applyBorder="1" applyAlignment="1">
      <alignment/>
    </xf>
    <xf numFmtId="0" fontId="0" fillId="0" borderId="64" xfId="0" applyBorder="1" applyAlignment="1">
      <alignment/>
    </xf>
    <xf numFmtId="3" fontId="0" fillId="0" borderId="64" xfId="0" applyNumberFormat="1" applyBorder="1" applyAlignment="1">
      <alignment/>
    </xf>
    <xf numFmtId="0" fontId="18" fillId="0" borderId="64" xfId="0" applyFont="1" applyBorder="1" applyAlignment="1">
      <alignment/>
    </xf>
    <xf numFmtId="0" fontId="0" fillId="22" borderId="64" xfId="0" applyNumberFormat="1" applyFill="1" applyBorder="1" applyAlignment="1">
      <alignment/>
    </xf>
    <xf numFmtId="0" fontId="0" fillId="22" borderId="64" xfId="0" applyFill="1" applyBorder="1" applyAlignment="1">
      <alignment/>
    </xf>
    <xf numFmtId="3" fontId="0" fillId="22" borderId="64" xfId="0" applyNumberFormat="1" applyFill="1" applyBorder="1" applyAlignment="1">
      <alignment/>
    </xf>
    <xf numFmtId="0" fontId="0" fillId="0" borderId="64" xfId="0" applyNumberFormat="1" applyBorder="1" applyAlignment="1">
      <alignment/>
    </xf>
    <xf numFmtId="3" fontId="21" fillId="0" borderId="45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0" fontId="0" fillId="0" borderId="65" xfId="0" applyBorder="1" applyAlignment="1">
      <alignment/>
    </xf>
    <xf numFmtId="3" fontId="21" fillId="0" borderId="50" xfId="0" applyNumberFormat="1" applyFont="1" applyBorder="1" applyAlignment="1">
      <alignment/>
    </xf>
    <xf numFmtId="3" fontId="21" fillId="22" borderId="39" xfId="0" applyNumberFormat="1" applyFont="1" applyFill="1" applyBorder="1" applyAlignment="1">
      <alignment/>
    </xf>
    <xf numFmtId="3" fontId="21" fillId="22" borderId="50" xfId="0" applyNumberFormat="1" applyFont="1" applyFill="1" applyBorder="1" applyAlignment="1">
      <alignment/>
    </xf>
    <xf numFmtId="3" fontId="21" fillId="0" borderId="53" xfId="0" applyNumberFormat="1" applyFont="1" applyBorder="1" applyAlignment="1">
      <alignment/>
    </xf>
    <xf numFmtId="3" fontId="21" fillId="22" borderId="53" xfId="0" applyNumberFormat="1" applyFont="1" applyFill="1" applyBorder="1" applyAlignment="1">
      <alignment/>
    </xf>
    <xf numFmtId="3" fontId="21" fillId="22" borderId="45" xfId="0" applyNumberFormat="1" applyFont="1" applyFill="1" applyBorder="1" applyAlignment="1">
      <alignment/>
    </xf>
    <xf numFmtId="164" fontId="21" fillId="0" borderId="57" xfId="0" applyNumberFormat="1" applyFont="1" applyBorder="1" applyAlignment="1">
      <alignment/>
    </xf>
    <xf numFmtId="1" fontId="21" fillId="0" borderId="53" xfId="0" applyNumberFormat="1" applyFont="1" applyBorder="1" applyAlignment="1">
      <alignment horizontal="center"/>
    </xf>
    <xf numFmtId="0" fontId="0" fillId="0" borderId="66" xfId="0" applyFill="1" applyBorder="1" applyAlignment="1">
      <alignment/>
    </xf>
    <xf numFmtId="3" fontId="19" fillId="28" borderId="64" xfId="0" applyNumberFormat="1" applyFont="1" applyFill="1" applyBorder="1" applyAlignment="1">
      <alignment horizontal="center" vertical="top" wrapText="1"/>
    </xf>
    <xf numFmtId="3" fontId="0" fillId="28" borderId="64" xfId="0" applyNumberFormat="1" applyFill="1" applyBorder="1" applyAlignment="1">
      <alignment/>
    </xf>
    <xf numFmtId="0" fontId="0" fillId="28" borderId="67" xfId="0" applyFill="1" applyBorder="1" applyAlignment="1">
      <alignment/>
    </xf>
    <xf numFmtId="0" fontId="18" fillId="28" borderId="68" xfId="0" applyFont="1" applyFill="1" applyBorder="1" applyAlignment="1">
      <alignment/>
    </xf>
    <xf numFmtId="0" fontId="0" fillId="28" borderId="69" xfId="0" applyFill="1" applyBorder="1" applyAlignment="1">
      <alignment/>
    </xf>
    <xf numFmtId="3" fontId="0" fillId="28" borderId="70" xfId="0" applyNumberFormat="1" applyFill="1" applyBorder="1" applyAlignment="1">
      <alignment/>
    </xf>
    <xf numFmtId="3" fontId="0" fillId="28" borderId="68" xfId="0" applyNumberFormat="1" applyFill="1" applyBorder="1" applyAlignment="1">
      <alignment/>
    </xf>
    <xf numFmtId="3" fontId="0" fillId="28" borderId="69" xfId="0" applyNumberFormat="1" applyFill="1" applyBorder="1" applyAlignment="1">
      <alignment/>
    </xf>
    <xf numFmtId="3" fontId="0" fillId="28" borderId="71" xfId="0" applyNumberFormat="1" applyFill="1" applyBorder="1" applyAlignment="1">
      <alignment/>
    </xf>
    <xf numFmtId="0" fontId="0" fillId="28" borderId="72" xfId="0" applyFill="1" applyBorder="1" applyAlignment="1">
      <alignment/>
    </xf>
    <xf numFmtId="0" fontId="0" fillId="28" borderId="73" xfId="0" applyFill="1" applyBorder="1" applyAlignment="1">
      <alignment/>
    </xf>
    <xf numFmtId="0" fontId="0" fillId="28" borderId="64" xfId="0" applyFill="1" applyBorder="1" applyAlignment="1">
      <alignment/>
    </xf>
    <xf numFmtId="0" fontId="18" fillId="28" borderId="64" xfId="0" applyFont="1" applyFill="1" applyBorder="1" applyAlignment="1">
      <alignment/>
    </xf>
    <xf numFmtId="3" fontId="0" fillId="28" borderId="0" xfId="0" applyNumberFormat="1" applyFill="1" applyAlignment="1">
      <alignment/>
    </xf>
    <xf numFmtId="3" fontId="28" fillId="28" borderId="0" xfId="0" applyNumberFormat="1" applyFont="1" applyFill="1" applyAlignment="1">
      <alignment/>
    </xf>
    <xf numFmtId="3" fontId="19" fillId="0" borderId="58" xfId="0" applyNumberFormat="1" applyFont="1" applyBorder="1" applyAlignment="1">
      <alignment horizontal="center" vertical="top" wrapText="1"/>
    </xf>
    <xf numFmtId="3" fontId="21" fillId="0" borderId="19" xfId="0" applyNumberFormat="1" applyFont="1" applyBorder="1" applyAlignment="1">
      <alignment/>
    </xf>
    <xf numFmtId="3" fontId="21" fillId="0" borderId="59" xfId="0" applyNumberFormat="1" applyFont="1" applyBorder="1" applyAlignment="1">
      <alignment/>
    </xf>
    <xf numFmtId="3" fontId="21" fillId="0" borderId="60" xfId="0" applyNumberFormat="1" applyFont="1" applyBorder="1" applyAlignment="1">
      <alignment/>
    </xf>
    <xf numFmtId="3" fontId="21" fillId="0" borderId="61" xfId="0" applyNumberFormat="1" applyFont="1" applyBorder="1" applyAlignment="1">
      <alignment/>
    </xf>
    <xf numFmtId="3" fontId="21" fillId="0" borderId="62" xfId="0" applyNumberFormat="1" applyFont="1" applyBorder="1" applyAlignment="1">
      <alignment/>
    </xf>
    <xf numFmtId="3" fontId="21" fillId="22" borderId="61" xfId="0" applyNumberFormat="1" applyFont="1" applyFill="1" applyBorder="1" applyAlignment="1">
      <alignment/>
    </xf>
    <xf numFmtId="3" fontId="21" fillId="22" borderId="63" xfId="0" applyNumberFormat="1" applyFont="1" applyFill="1" applyBorder="1" applyAlignment="1">
      <alignment/>
    </xf>
    <xf numFmtId="3" fontId="21" fillId="22" borderId="60" xfId="0" applyNumberFormat="1" applyFont="1" applyFill="1" applyBorder="1" applyAlignment="1">
      <alignment/>
    </xf>
    <xf numFmtId="3" fontId="21" fillId="22" borderId="62" xfId="0" applyNumberFormat="1" applyFont="1" applyFill="1" applyBorder="1" applyAlignment="1">
      <alignment/>
    </xf>
    <xf numFmtId="3" fontId="21" fillId="0" borderId="63" xfId="0" applyNumberFormat="1" applyFont="1" applyBorder="1" applyAlignment="1">
      <alignment/>
    </xf>
    <xf numFmtId="3" fontId="19" fillId="0" borderId="14" xfId="0" applyNumberFormat="1" applyFont="1" applyFill="1" applyBorder="1" applyAlignment="1">
      <alignment horizontal="center" vertical="top" wrapText="1"/>
    </xf>
    <xf numFmtId="3" fontId="19" fillId="0" borderId="74" xfId="0" applyNumberFormat="1" applyFont="1" applyFill="1" applyBorder="1" applyAlignment="1">
      <alignment horizontal="center" vertical="top" wrapText="1"/>
    </xf>
    <xf numFmtId="3" fontId="21" fillId="0" borderId="14" xfId="0" applyNumberFormat="1" applyFont="1" applyFill="1" applyBorder="1" applyAlignment="1">
      <alignment/>
    </xf>
    <xf numFmtId="3" fontId="21" fillId="0" borderId="74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74" xfId="0" applyFill="1" applyBorder="1" applyAlignment="1">
      <alignment/>
    </xf>
    <xf numFmtId="0" fontId="18" fillId="0" borderId="14" xfId="0" applyFont="1" applyFill="1" applyBorder="1" applyAlignment="1">
      <alignment/>
    </xf>
    <xf numFmtId="0" fontId="18" fillId="0" borderId="74" xfId="0" applyFon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74" xfId="0" applyNumberFormat="1" applyFill="1" applyBorder="1" applyAlignment="1">
      <alignment/>
    </xf>
    <xf numFmtId="3" fontId="0" fillId="0" borderId="26" xfId="0" applyNumberFormat="1" applyFill="1" applyBorder="1" applyAlignment="1">
      <alignment/>
    </xf>
    <xf numFmtId="0" fontId="0" fillId="0" borderId="75" xfId="0" applyFill="1" applyBorder="1" applyAlignment="1">
      <alignment/>
    </xf>
    <xf numFmtId="0" fontId="47" fillId="0" borderId="76" xfId="0" applyFont="1" applyFill="1" applyBorder="1" applyAlignment="1">
      <alignment horizontal="right" vertical="center" wrapText="1"/>
    </xf>
    <xf numFmtId="0" fontId="47" fillId="0" borderId="15" xfId="0" applyFont="1" applyFill="1" applyBorder="1" applyAlignment="1">
      <alignment horizontal="right" vertical="center" wrapText="1"/>
    </xf>
    <xf numFmtId="3" fontId="34" fillId="29" borderId="14" xfId="0" applyNumberFormat="1" applyFont="1" applyFill="1" applyBorder="1" applyAlignment="1">
      <alignment horizontal="center" vertical="center" wrapText="1"/>
    </xf>
    <xf numFmtId="0" fontId="33" fillId="29" borderId="13" xfId="0" applyFont="1" applyFill="1" applyBorder="1" applyAlignment="1">
      <alignment horizontal="center" vertical="center"/>
    </xf>
    <xf numFmtId="0" fontId="34" fillId="29" borderId="14" xfId="0" applyFont="1" applyFill="1" applyBorder="1" applyAlignment="1">
      <alignment horizontal="center" vertical="center" wrapText="1"/>
    </xf>
    <xf numFmtId="0" fontId="37" fillId="29" borderId="14" xfId="0" applyFont="1" applyFill="1" applyBorder="1" applyAlignment="1">
      <alignment horizontal="center" vertical="center" wrapText="1"/>
    </xf>
    <xf numFmtId="3" fontId="24" fillId="0" borderId="0" xfId="0" applyNumberFormat="1" applyFont="1" applyAlignment="1">
      <alignment/>
    </xf>
    <xf numFmtId="3" fontId="24" fillId="0" borderId="0" xfId="0" applyNumberFormat="1" applyFont="1" applyFill="1" applyAlignment="1">
      <alignment/>
    </xf>
    <xf numFmtId="3" fontId="46" fillId="30" borderId="36" xfId="0" applyNumberFormat="1" applyFont="1" applyFill="1" applyBorder="1" applyAlignment="1">
      <alignment horizontal="center" vertical="center"/>
    </xf>
    <xf numFmtId="3" fontId="25" fillId="0" borderId="0" xfId="0" applyNumberFormat="1" applyFont="1" applyAlignment="1">
      <alignment/>
    </xf>
    <xf numFmtId="3" fontId="24" fillId="0" borderId="0" xfId="0" applyNumberFormat="1" applyFont="1" applyBorder="1" applyAlignment="1">
      <alignment/>
    </xf>
    <xf numFmtId="0" fontId="34" fillId="25" borderId="14" xfId="0" applyFont="1" applyFill="1" applyBorder="1" applyAlignment="1">
      <alignment horizontal="center" vertical="center" wrapText="1"/>
    </xf>
    <xf numFmtId="3" fontId="0" fillId="0" borderId="66" xfId="0" applyNumberFormat="1" applyFill="1" applyBorder="1" applyAlignment="1">
      <alignment/>
    </xf>
    <xf numFmtId="0" fontId="33" fillId="4" borderId="35" xfId="0" applyFont="1" applyFill="1" applyBorder="1" applyAlignment="1">
      <alignment horizontal="left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31" xfId="0" applyFont="1" applyFill="1" applyBorder="1" applyAlignment="1">
      <alignment horizontal="center" vertical="center"/>
    </xf>
    <xf numFmtId="0" fontId="30" fillId="0" borderId="33" xfId="0" applyFont="1" applyFill="1" applyBorder="1" applyAlignment="1">
      <alignment horizontal="center" vertical="center" wrapText="1"/>
    </xf>
    <xf numFmtId="0" fontId="37" fillId="0" borderId="33" xfId="0" applyFont="1" applyFill="1" applyBorder="1" applyAlignment="1">
      <alignment horizontal="center" vertical="center" wrapText="1"/>
    </xf>
    <xf numFmtId="0" fontId="33" fillId="29" borderId="35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vertical="top" wrapText="1"/>
    </xf>
    <xf numFmtId="0" fontId="44" fillId="0" borderId="14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3" fontId="44" fillId="0" borderId="16" xfId="0" applyNumberFormat="1" applyFont="1" applyFill="1" applyBorder="1" applyAlignment="1">
      <alignment horizontal="center" vertical="center" wrapText="1"/>
    </xf>
    <xf numFmtId="0" fontId="34" fillId="4" borderId="14" xfId="0" applyFont="1" applyFill="1" applyBorder="1" applyAlignment="1">
      <alignment horizontal="center" vertical="center" wrapText="1"/>
    </xf>
    <xf numFmtId="0" fontId="45" fillId="31" borderId="14" xfId="0" applyFont="1" applyFill="1" applyBorder="1" applyAlignment="1">
      <alignment horizontal="center" vertical="center" wrapText="1"/>
    </xf>
    <xf numFmtId="3" fontId="46" fillId="32" borderId="36" xfId="0" applyNumberFormat="1" applyFont="1" applyFill="1" applyBorder="1" applyAlignment="1">
      <alignment horizontal="center" vertical="center"/>
    </xf>
    <xf numFmtId="3" fontId="30" fillId="0" borderId="33" xfId="0" applyNumberFormat="1" applyFont="1" applyFill="1" applyBorder="1" applyAlignment="1">
      <alignment horizontal="center" vertical="center" wrapText="1"/>
    </xf>
    <xf numFmtId="3" fontId="44" fillId="0" borderId="33" xfId="0" applyNumberFormat="1" applyFont="1" applyFill="1" applyBorder="1" applyAlignment="1">
      <alignment horizontal="center" vertical="center" wrapText="1"/>
    </xf>
    <xf numFmtId="0" fontId="44" fillId="0" borderId="33" xfId="0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left" vertical="center" wrapText="1"/>
    </xf>
    <xf numFmtId="0" fontId="41" fillId="0" borderId="32" xfId="0" applyFont="1" applyFill="1" applyBorder="1" applyAlignment="1">
      <alignment horizontal="left" vertical="center" wrapText="1"/>
    </xf>
    <xf numFmtId="0" fontId="41" fillId="0" borderId="77" xfId="0" applyFont="1" applyFill="1" applyBorder="1" applyAlignment="1">
      <alignment horizontal="left" vertical="center" wrapText="1"/>
    </xf>
    <xf numFmtId="0" fontId="41" fillId="0" borderId="64" xfId="0" applyFont="1" applyBorder="1" applyAlignment="1">
      <alignment vertical="center" wrapText="1"/>
    </xf>
    <xf numFmtId="0" fontId="41" fillId="0" borderId="67" xfId="0" applyFont="1" applyBorder="1" applyAlignment="1">
      <alignment vertical="center" wrapText="1"/>
    </xf>
    <xf numFmtId="0" fontId="48" fillId="0" borderId="35" xfId="0" applyFont="1" applyBorder="1" applyAlignment="1">
      <alignment horizontal="left" vertical="center" wrapText="1"/>
    </xf>
    <xf numFmtId="0" fontId="30" fillId="0" borderId="64" xfId="0" applyFont="1" applyBorder="1" applyAlignment="1">
      <alignment vertical="center" wrapText="1"/>
    </xf>
    <xf numFmtId="0" fontId="30" fillId="0" borderId="35" xfId="0" applyFont="1" applyBorder="1" applyAlignment="1">
      <alignment horizontal="left" vertical="center" wrapText="1"/>
    </xf>
    <xf numFmtId="0" fontId="34" fillId="25" borderId="14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30" fillId="0" borderId="33" xfId="0" applyFont="1" applyFill="1" applyBorder="1" applyAlignment="1" quotePrefix="1">
      <alignment horizontal="center" vertical="center" wrapText="1"/>
    </xf>
    <xf numFmtId="0" fontId="30" fillId="33" borderId="16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3" fontId="49" fillId="33" borderId="16" xfId="0" applyNumberFormat="1" applyFont="1" applyFill="1" applyBorder="1" applyAlignment="1">
      <alignment horizontal="center" vertical="center" wrapText="1"/>
    </xf>
    <xf numFmtId="0" fontId="33" fillId="25" borderId="13" xfId="0" applyFont="1" applyFill="1" applyBorder="1" applyAlignment="1">
      <alignment horizontal="center" vertical="center"/>
    </xf>
    <xf numFmtId="2" fontId="50" fillId="25" borderId="35" xfId="0" applyNumberFormat="1" applyFont="1" applyFill="1" applyBorder="1" applyAlignment="1">
      <alignment horizontal="left" vertical="center" wrapText="1"/>
    </xf>
    <xf numFmtId="3" fontId="34" fillId="25" borderId="14" xfId="0" applyNumberFormat="1" applyFont="1" applyFill="1" applyBorder="1" applyAlignment="1">
      <alignment horizontal="center" vertical="center" wrapText="1"/>
    </xf>
    <xf numFmtId="166" fontId="33" fillId="25" borderId="13" xfId="0" applyNumberFormat="1" applyFont="1" applyFill="1" applyBorder="1" applyAlignment="1">
      <alignment horizontal="center" vertical="center"/>
    </xf>
    <xf numFmtId="0" fontId="34" fillId="25" borderId="35" xfId="0" applyFont="1" applyFill="1" applyBorder="1" applyAlignment="1">
      <alignment horizontal="left" vertical="center" wrapText="1"/>
    </xf>
    <xf numFmtId="166" fontId="49" fillId="25" borderId="13" xfId="0" applyNumberFormat="1" applyFont="1" applyFill="1" applyBorder="1" applyAlignment="1">
      <alignment horizontal="center" vertical="center"/>
    </xf>
    <xf numFmtId="0" fontId="46" fillId="25" borderId="35" xfId="0" applyFont="1" applyFill="1" applyBorder="1" applyAlignment="1">
      <alignment horizontal="left" vertical="center" wrapText="1"/>
    </xf>
    <xf numFmtId="0" fontId="34" fillId="25" borderId="0" xfId="0" applyFont="1" applyFill="1" applyBorder="1" applyAlignment="1">
      <alignment horizontal="center" vertical="center" wrapText="1"/>
    </xf>
    <xf numFmtId="3" fontId="49" fillId="25" borderId="14" xfId="0" applyNumberFormat="1" applyFont="1" applyFill="1" applyBorder="1" applyAlignment="1">
      <alignment horizontal="center" vertical="center" wrapText="1"/>
    </xf>
    <xf numFmtId="0" fontId="34" fillId="25" borderId="13" xfId="0" applyFont="1" applyFill="1" applyBorder="1" applyAlignment="1">
      <alignment horizontal="center" vertical="center"/>
    </xf>
    <xf numFmtId="2" fontId="46" fillId="25" borderId="35" xfId="0" applyNumberFormat="1" applyFont="1" applyFill="1" applyBorder="1" applyAlignment="1">
      <alignment horizontal="left" vertical="center" wrapText="1"/>
    </xf>
    <xf numFmtId="0" fontId="34" fillId="25" borderId="16" xfId="0" applyFont="1" applyFill="1" applyBorder="1" applyAlignment="1">
      <alignment horizontal="center" vertical="center" wrapText="1"/>
    </xf>
    <xf numFmtId="0" fontId="30" fillId="0" borderId="67" xfId="0" applyFont="1" applyBorder="1" applyAlignment="1">
      <alignment vertical="center" wrapText="1"/>
    </xf>
    <xf numFmtId="0" fontId="30" fillId="0" borderId="18" xfId="0" applyFont="1" applyFill="1" applyBorder="1" applyAlignment="1">
      <alignment horizontal="center" vertical="center"/>
    </xf>
    <xf numFmtId="0" fontId="30" fillId="0" borderId="18" xfId="0" applyFont="1" applyBorder="1" applyAlignment="1">
      <alignment horizontal="left" vertical="center" wrapText="1"/>
    </xf>
    <xf numFmtId="0" fontId="30" fillId="0" borderId="18" xfId="0" applyFont="1" applyFill="1" applyBorder="1" applyAlignment="1">
      <alignment horizontal="center" vertical="center" wrapText="1"/>
    </xf>
    <xf numFmtId="3" fontId="30" fillId="0" borderId="18" xfId="0" applyNumberFormat="1" applyFont="1" applyFill="1" applyBorder="1" applyAlignment="1">
      <alignment horizontal="center" vertical="center" wrapText="1"/>
    </xf>
    <xf numFmtId="3" fontId="44" fillId="0" borderId="18" xfId="0" applyNumberFormat="1" applyFont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Fill="1" applyBorder="1" applyAlignment="1">
      <alignment horizontal="center" vertical="center" wrapText="1"/>
    </xf>
    <xf numFmtId="3" fontId="30" fillId="0" borderId="0" xfId="0" applyNumberFormat="1" applyFont="1" applyFill="1" applyBorder="1" applyAlignment="1">
      <alignment horizontal="center" vertical="center" wrapText="1"/>
    </xf>
    <xf numFmtId="3" fontId="44" fillId="0" borderId="0" xfId="0" applyNumberFormat="1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3" fontId="33" fillId="34" borderId="30" xfId="0" applyNumberFormat="1" applyFont="1" applyFill="1" applyBorder="1" applyAlignment="1">
      <alignment horizontal="center" vertical="center"/>
    </xf>
    <xf numFmtId="3" fontId="30" fillId="34" borderId="14" xfId="0" applyNumberFormat="1" applyFont="1" applyFill="1" applyBorder="1" applyAlignment="1">
      <alignment horizontal="center" vertical="center"/>
    </xf>
    <xf numFmtId="4" fontId="30" fillId="34" borderId="14" xfId="0" applyNumberFormat="1" applyFont="1" applyFill="1" applyBorder="1" applyAlignment="1">
      <alignment horizontal="center" vertical="center"/>
    </xf>
    <xf numFmtId="3" fontId="33" fillId="34" borderId="14" xfId="0" applyNumberFormat="1" applyFont="1" applyFill="1" applyBorder="1" applyAlignment="1">
      <alignment horizontal="center" vertical="center"/>
    </xf>
    <xf numFmtId="165" fontId="30" fillId="26" borderId="14" xfId="0" applyNumberFormat="1" applyFont="1" applyFill="1" applyBorder="1" applyAlignment="1">
      <alignment horizontal="center" vertical="center"/>
    </xf>
    <xf numFmtId="0" fontId="34" fillId="26" borderId="26" xfId="0" applyNumberFormat="1" applyFont="1" applyFill="1" applyBorder="1" applyAlignment="1">
      <alignment horizontal="center" vertical="center"/>
    </xf>
    <xf numFmtId="4" fontId="30" fillId="26" borderId="26" xfId="0" applyNumberFormat="1" applyFont="1" applyFill="1" applyBorder="1" applyAlignment="1">
      <alignment horizontal="center" vertical="center"/>
    </xf>
    <xf numFmtId="0" fontId="34" fillId="35" borderId="26" xfId="0" applyNumberFormat="1" applyFont="1" applyFill="1" applyBorder="1" applyAlignment="1">
      <alignment horizontal="center" vertical="center"/>
    </xf>
    <xf numFmtId="3" fontId="33" fillId="36" borderId="30" xfId="0" applyNumberFormat="1" applyFont="1" applyFill="1" applyBorder="1" applyAlignment="1">
      <alignment horizontal="center" vertical="center"/>
    </xf>
    <xf numFmtId="3" fontId="30" fillId="36" borderId="14" xfId="0" applyNumberFormat="1" applyFont="1" applyFill="1" applyBorder="1" applyAlignment="1">
      <alignment horizontal="center" vertical="center"/>
    </xf>
    <xf numFmtId="165" fontId="30" fillId="35" borderId="14" xfId="0" applyNumberFormat="1" applyFont="1" applyFill="1" applyBorder="1" applyAlignment="1">
      <alignment horizontal="center" vertical="center"/>
    </xf>
    <xf numFmtId="4" fontId="30" fillId="36" borderId="14" xfId="0" applyNumberFormat="1" applyFont="1" applyFill="1" applyBorder="1" applyAlignment="1">
      <alignment horizontal="center" vertical="center"/>
    </xf>
    <xf numFmtId="3" fontId="33" fillId="36" borderId="14" xfId="0" applyNumberFormat="1" applyFont="1" applyFill="1" applyBorder="1" applyAlignment="1">
      <alignment horizontal="center" vertical="center"/>
    </xf>
    <xf numFmtId="4" fontId="30" fillId="35" borderId="26" xfId="0" applyNumberFormat="1" applyFont="1" applyFill="1" applyBorder="1" applyAlignment="1">
      <alignment horizontal="center" vertical="center"/>
    </xf>
    <xf numFmtId="3" fontId="44" fillId="37" borderId="14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Border="1" applyAlignment="1">
      <alignment horizontal="center" vertical="center" wrapText="1"/>
    </xf>
    <xf numFmtId="165" fontId="34" fillId="24" borderId="14" xfId="0" applyNumberFormat="1" applyFont="1" applyFill="1" applyBorder="1" applyAlignment="1">
      <alignment horizontal="center" vertical="center" wrapText="1"/>
    </xf>
    <xf numFmtId="0" fontId="37" fillId="0" borderId="78" xfId="0" applyFont="1" applyBorder="1" applyAlignment="1">
      <alignment horizontal="left" vertical="center" wrapText="1"/>
    </xf>
    <xf numFmtId="0" fontId="37" fillId="0" borderId="19" xfId="0" applyFont="1" applyBorder="1" applyAlignment="1">
      <alignment horizontal="left" vertical="center" wrapText="1"/>
    </xf>
    <xf numFmtId="0" fontId="37" fillId="0" borderId="22" xfId="0" applyFont="1" applyBorder="1" applyAlignment="1">
      <alignment horizontal="left" vertical="center" wrapText="1"/>
    </xf>
    <xf numFmtId="0" fontId="37" fillId="0" borderId="19" xfId="0" applyFont="1" applyFill="1" applyBorder="1" applyAlignment="1">
      <alignment horizontal="left" vertical="center" wrapText="1"/>
    </xf>
    <xf numFmtId="3" fontId="33" fillId="0" borderId="14" xfId="0" applyNumberFormat="1" applyFont="1" applyFill="1" applyBorder="1" applyAlignment="1">
      <alignment horizontal="center" vertical="center"/>
    </xf>
    <xf numFmtId="3" fontId="34" fillId="34" borderId="19" xfId="0" applyNumberFormat="1" applyFont="1" applyFill="1" applyBorder="1" applyAlignment="1">
      <alignment horizontal="center" vertical="center"/>
    </xf>
    <xf numFmtId="3" fontId="37" fillId="34" borderId="19" xfId="0" applyNumberFormat="1" applyFont="1" applyFill="1" applyBorder="1" applyAlignment="1">
      <alignment horizontal="center" vertical="center"/>
    </xf>
    <xf numFmtId="3" fontId="34" fillId="27" borderId="19" xfId="0" applyNumberFormat="1" applyFont="1" applyFill="1" applyBorder="1" applyAlignment="1">
      <alignment horizontal="center" vertical="center" wrapText="1"/>
    </xf>
    <xf numFmtId="3" fontId="34" fillId="34" borderId="19" xfId="0" applyNumberFormat="1" applyFont="1" applyFill="1" applyBorder="1" applyAlignment="1">
      <alignment horizontal="center" vertical="center" wrapText="1"/>
    </xf>
    <xf numFmtId="4" fontId="34" fillId="34" borderId="19" xfId="0" applyNumberFormat="1" applyFont="1" applyFill="1" applyBorder="1" applyAlignment="1">
      <alignment horizontal="center" vertical="center" wrapText="1"/>
    </xf>
    <xf numFmtId="165" fontId="34" fillId="34" borderId="19" xfId="0" applyNumberFormat="1" applyFont="1" applyFill="1" applyBorder="1" applyAlignment="1">
      <alignment horizontal="center" vertical="center" wrapText="1"/>
    </xf>
    <xf numFmtId="3" fontId="34" fillId="34" borderId="79" xfId="0" applyNumberFormat="1" applyFont="1" applyFill="1" applyBorder="1" applyAlignment="1">
      <alignment horizontal="center" vertical="center" wrapText="1"/>
    </xf>
    <xf numFmtId="3" fontId="34" fillId="0" borderId="35" xfId="0" applyNumberFormat="1" applyFont="1" applyBorder="1" applyAlignment="1">
      <alignment horizontal="center" vertical="center"/>
    </xf>
    <xf numFmtId="3" fontId="34" fillId="22" borderId="35" xfId="0" applyNumberFormat="1" applyFont="1" applyFill="1" applyBorder="1" applyAlignment="1">
      <alignment horizontal="center" vertical="center" wrapText="1"/>
    </xf>
    <xf numFmtId="3" fontId="34" fillId="0" borderId="35" xfId="0" applyNumberFormat="1" applyFont="1" applyFill="1" applyBorder="1" applyAlignment="1">
      <alignment horizontal="center" vertical="center" wrapText="1"/>
    </xf>
    <xf numFmtId="3" fontId="34" fillId="0" borderId="35" xfId="0" applyNumberFormat="1" applyFont="1" applyFill="1" applyBorder="1" applyAlignment="1">
      <alignment horizontal="center" vertical="center"/>
    </xf>
    <xf numFmtId="4" fontId="34" fillId="0" borderId="35" xfId="0" applyNumberFormat="1" applyFont="1" applyFill="1" applyBorder="1" applyAlignment="1">
      <alignment horizontal="center" vertical="center" wrapText="1"/>
    </xf>
    <xf numFmtId="165" fontId="34" fillId="0" borderId="35" xfId="0" applyNumberFormat="1" applyFont="1" applyFill="1" applyBorder="1" applyAlignment="1">
      <alignment horizontal="center" vertical="center" wrapText="1"/>
    </xf>
    <xf numFmtId="3" fontId="34" fillId="0" borderId="35" xfId="0" applyNumberFormat="1" applyFont="1" applyBorder="1" applyAlignment="1">
      <alignment horizontal="center" vertical="center" wrapText="1"/>
    </xf>
    <xf numFmtId="3" fontId="37" fillId="0" borderId="35" xfId="0" applyNumberFormat="1" applyFont="1" applyBorder="1" applyAlignment="1">
      <alignment horizontal="center" vertical="center" wrapText="1"/>
    </xf>
    <xf numFmtId="3" fontId="34" fillId="0" borderId="80" xfId="0" applyNumberFormat="1" applyFont="1" applyBorder="1" applyAlignment="1">
      <alignment horizontal="center" vertical="center" wrapText="1"/>
    </xf>
    <xf numFmtId="3" fontId="34" fillId="36" borderId="21" xfId="0" applyNumberFormat="1" applyFont="1" applyFill="1" applyBorder="1" applyAlignment="1">
      <alignment horizontal="center" vertical="center"/>
    </xf>
    <xf numFmtId="3" fontId="37" fillId="36" borderId="21" xfId="0" applyNumberFormat="1" applyFont="1" applyFill="1" applyBorder="1" applyAlignment="1">
      <alignment horizontal="center" vertical="center"/>
    </xf>
    <xf numFmtId="3" fontId="34" fillId="35" borderId="21" xfId="0" applyNumberFormat="1" applyFont="1" applyFill="1" applyBorder="1" applyAlignment="1">
      <alignment horizontal="center" vertical="center" wrapText="1"/>
    </xf>
    <xf numFmtId="3" fontId="34" fillId="36" borderId="21" xfId="0" applyNumberFormat="1" applyFont="1" applyFill="1" applyBorder="1" applyAlignment="1">
      <alignment horizontal="center" vertical="center" wrapText="1"/>
    </xf>
    <xf numFmtId="4" fontId="34" fillId="36" borderId="21" xfId="0" applyNumberFormat="1" applyFont="1" applyFill="1" applyBorder="1" applyAlignment="1">
      <alignment horizontal="center" vertical="center" wrapText="1"/>
    </xf>
    <xf numFmtId="165" fontId="34" fillId="36" borderId="21" xfId="0" applyNumberFormat="1" applyFont="1" applyFill="1" applyBorder="1" applyAlignment="1">
      <alignment horizontal="center" vertical="center" wrapText="1"/>
    </xf>
    <xf numFmtId="3" fontId="37" fillId="36" borderId="21" xfId="0" applyNumberFormat="1" applyFont="1" applyFill="1" applyBorder="1" applyAlignment="1">
      <alignment horizontal="center" vertical="center" wrapText="1"/>
    </xf>
    <xf numFmtId="3" fontId="34" fillId="36" borderId="81" xfId="0" applyNumberFormat="1" applyFont="1" applyFill="1" applyBorder="1" applyAlignment="1">
      <alignment horizontal="center" vertical="center" wrapText="1"/>
    </xf>
    <xf numFmtId="3" fontId="37" fillId="34" borderId="19" xfId="0" applyNumberFormat="1" applyFont="1" applyFill="1" applyBorder="1" applyAlignment="1">
      <alignment horizontal="center" vertical="center" wrapText="1"/>
    </xf>
    <xf numFmtId="3" fontId="37" fillId="0" borderId="35" xfId="0" applyNumberFormat="1" applyFont="1" applyBorder="1" applyAlignment="1">
      <alignment horizontal="center" vertical="center"/>
    </xf>
    <xf numFmtId="3" fontId="37" fillId="0" borderId="35" xfId="0" applyNumberFormat="1" applyFont="1" applyFill="1" applyBorder="1" applyAlignment="1">
      <alignment horizontal="center" vertical="center"/>
    </xf>
    <xf numFmtId="3" fontId="37" fillId="0" borderId="35" xfId="0" applyNumberFormat="1" applyFont="1" applyFill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left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right" vertical="center" wrapText="1"/>
    </xf>
    <xf numFmtId="0" fontId="30" fillId="0" borderId="82" xfId="0" applyFont="1" applyFill="1" applyBorder="1" applyAlignment="1">
      <alignment horizontal="left" vertical="center" wrapText="1"/>
    </xf>
    <xf numFmtId="0" fontId="41" fillId="0" borderId="13" xfId="0" applyFont="1" applyFill="1" applyBorder="1" applyAlignment="1">
      <alignment horizontal="center" vertical="center"/>
    </xf>
    <xf numFmtId="0" fontId="41" fillId="0" borderId="83" xfId="0" applyFont="1" applyBorder="1" applyAlignment="1">
      <alignment vertical="center" wrapText="1"/>
    </xf>
    <xf numFmtId="0" fontId="41" fillId="0" borderId="14" xfId="0" applyFont="1" applyBorder="1" applyAlignment="1">
      <alignment horizontal="left" vertical="center" wrapText="1"/>
    </xf>
    <xf numFmtId="0" fontId="41" fillId="0" borderId="84" xfId="0" applyFont="1" applyBorder="1" applyAlignment="1">
      <alignment vertical="center" wrapText="1"/>
    </xf>
    <xf numFmtId="0" fontId="41" fillId="0" borderId="16" xfId="0" applyFont="1" applyBorder="1" applyAlignment="1">
      <alignment horizontal="left" vertical="center" wrapText="1"/>
    </xf>
    <xf numFmtId="0" fontId="41" fillId="0" borderId="74" xfId="0" applyFont="1" applyBorder="1" applyAlignment="1">
      <alignment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3" fontId="44" fillId="34" borderId="14" xfId="0" applyNumberFormat="1" applyFont="1" applyFill="1" applyBorder="1" applyAlignment="1">
      <alignment horizontal="center" vertical="center" wrapText="1"/>
    </xf>
    <xf numFmtId="3" fontId="30" fillId="34" borderId="14" xfId="0" applyNumberFormat="1" applyFont="1" applyFill="1" applyBorder="1" applyAlignment="1">
      <alignment horizontal="center" vertical="center" wrapText="1"/>
    </xf>
    <xf numFmtId="0" fontId="30" fillId="0" borderId="76" xfId="0" applyFont="1" applyFill="1" applyBorder="1" applyAlignment="1">
      <alignment horizontal="right" vertical="center" wrapText="1"/>
    </xf>
    <xf numFmtId="3" fontId="45" fillId="31" borderId="14" xfId="0" applyNumberFormat="1" applyFont="1" applyFill="1" applyBorder="1" applyAlignment="1">
      <alignment horizontal="center" vertical="center" wrapText="1"/>
    </xf>
    <xf numFmtId="4" fontId="34" fillId="36" borderId="14" xfId="0" applyNumberFormat="1" applyFont="1" applyFill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41" fillId="0" borderId="35" xfId="0" applyFont="1" applyBorder="1" applyAlignment="1">
      <alignment horizontal="left" vertical="center" wrapText="1"/>
    </xf>
    <xf numFmtId="3" fontId="30" fillId="0" borderId="0" xfId="0" applyNumberFormat="1" applyFont="1" applyBorder="1" applyAlignment="1">
      <alignment horizontal="center" vertical="center" wrapText="1"/>
    </xf>
    <xf numFmtId="0" fontId="30" fillId="34" borderId="14" xfId="0" applyFont="1" applyFill="1" applyBorder="1" applyAlignment="1">
      <alignment horizontal="center" vertical="center" wrapText="1"/>
    </xf>
    <xf numFmtId="0" fontId="0" fillId="0" borderId="85" xfId="0" applyFill="1" applyBorder="1" applyAlignment="1">
      <alignment/>
    </xf>
    <xf numFmtId="3" fontId="34" fillId="0" borderId="85" xfId="0" applyNumberFormat="1" applyFont="1" applyFill="1" applyBorder="1" applyAlignment="1">
      <alignment horizontal="center" vertical="center" wrapText="1"/>
    </xf>
    <xf numFmtId="3" fontId="23" fillId="0" borderId="85" xfId="0" applyNumberFormat="1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51" fillId="0" borderId="78" xfId="0" applyFont="1" applyBorder="1" applyAlignment="1">
      <alignment vertical="center" wrapText="1"/>
    </xf>
    <xf numFmtId="0" fontId="52" fillId="38" borderId="26" xfId="0" applyFont="1" applyFill="1" applyBorder="1" applyAlignment="1">
      <alignment horizontal="center" vertical="center" wrapText="1"/>
    </xf>
    <xf numFmtId="3" fontId="34" fillId="39" borderId="33" xfId="0" applyNumberFormat="1" applyFont="1" applyFill="1" applyBorder="1" applyAlignment="1">
      <alignment horizontal="center" vertical="center" wrapText="1"/>
    </xf>
    <xf numFmtId="3" fontId="44" fillId="40" borderId="14" xfId="0" applyNumberFormat="1" applyFont="1" applyFill="1" applyBorder="1" applyAlignment="1">
      <alignment horizontal="center" vertical="center" wrapText="1"/>
    </xf>
    <xf numFmtId="3" fontId="34" fillId="39" borderId="14" xfId="0" applyNumberFormat="1" applyFont="1" applyFill="1" applyBorder="1" applyAlignment="1">
      <alignment horizontal="center" vertical="center" wrapText="1"/>
    </xf>
    <xf numFmtId="3" fontId="30" fillId="40" borderId="37" xfId="0" applyNumberFormat="1" applyFont="1" applyFill="1" applyBorder="1" applyAlignment="1">
      <alignment horizontal="center" vertical="center" wrapText="1"/>
    </xf>
    <xf numFmtId="3" fontId="30" fillId="40" borderId="39" xfId="0" applyNumberFormat="1" applyFont="1" applyFill="1" applyBorder="1" applyAlignment="1">
      <alignment horizontal="center" vertical="center" wrapText="1"/>
    </xf>
    <xf numFmtId="3" fontId="30" fillId="40" borderId="41" xfId="0" applyNumberFormat="1" applyFont="1" applyFill="1" applyBorder="1" applyAlignment="1">
      <alignment horizontal="center" vertical="center" wrapText="1"/>
    </xf>
    <xf numFmtId="3" fontId="30" fillId="40" borderId="33" xfId="0" applyNumberFormat="1" applyFont="1" applyFill="1" applyBorder="1" applyAlignment="1">
      <alignment horizontal="center" vertical="center" wrapText="1"/>
    </xf>
    <xf numFmtId="3" fontId="30" fillId="40" borderId="14" xfId="0" applyNumberFormat="1" applyFont="1" applyFill="1" applyBorder="1" applyAlignment="1">
      <alignment horizontal="center" vertical="center" wrapText="1"/>
    </xf>
    <xf numFmtId="3" fontId="30" fillId="40" borderId="16" xfId="0" applyNumberFormat="1" applyFont="1" applyFill="1" applyBorder="1" applyAlignment="1">
      <alignment horizontal="center" vertical="center" wrapText="1"/>
    </xf>
    <xf numFmtId="3" fontId="44" fillId="40" borderId="37" xfId="0" applyNumberFormat="1" applyFont="1" applyFill="1" applyBorder="1" applyAlignment="1">
      <alignment horizontal="center" vertical="center" wrapText="1"/>
    </xf>
    <xf numFmtId="3" fontId="44" fillId="40" borderId="39" xfId="0" applyNumberFormat="1" applyFont="1" applyFill="1" applyBorder="1" applyAlignment="1">
      <alignment horizontal="center" vertical="center" wrapText="1"/>
    </xf>
    <xf numFmtId="3" fontId="44" fillId="40" borderId="41" xfId="0" applyNumberFormat="1" applyFont="1" applyFill="1" applyBorder="1" applyAlignment="1">
      <alignment horizontal="center" vertical="center" wrapText="1"/>
    </xf>
    <xf numFmtId="3" fontId="30" fillId="40" borderId="41" xfId="0" applyNumberFormat="1" applyFont="1" applyFill="1" applyBorder="1" applyAlignment="1" quotePrefix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3" fontId="44" fillId="0" borderId="34" xfId="0" applyNumberFormat="1" applyFont="1" applyBorder="1" applyAlignment="1">
      <alignment horizontal="center" vertical="center"/>
    </xf>
    <xf numFmtId="3" fontId="23" fillId="0" borderId="0" xfId="0" applyNumberFormat="1" applyFont="1" applyAlignment="1">
      <alignment/>
    </xf>
    <xf numFmtId="3" fontId="24" fillId="0" borderId="0" xfId="0" applyNumberFormat="1" applyFont="1" applyAlignment="1">
      <alignment vertical="center"/>
    </xf>
    <xf numFmtId="0" fontId="30" fillId="0" borderId="14" xfId="0" applyFont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41" fillId="0" borderId="86" xfId="0" applyFont="1" applyBorder="1" applyAlignment="1">
      <alignment vertical="center" wrapText="1"/>
    </xf>
    <xf numFmtId="3" fontId="44" fillId="40" borderId="33" xfId="0" applyNumberFormat="1" applyFont="1" applyFill="1" applyBorder="1" applyAlignment="1">
      <alignment horizontal="center" vertical="center" wrapText="1"/>
    </xf>
    <xf numFmtId="0" fontId="51" fillId="0" borderId="87" xfId="0" applyFont="1" applyBorder="1" applyAlignment="1">
      <alignment vertical="center" wrapText="1"/>
    </xf>
    <xf numFmtId="3" fontId="44" fillId="0" borderId="88" xfId="0" applyNumberFormat="1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164" fontId="19" fillId="0" borderId="0" xfId="0" applyNumberFormat="1" applyFont="1" applyBorder="1" applyAlignment="1">
      <alignment horizontal="center" vertical="top" wrapText="1"/>
    </xf>
    <xf numFmtId="0" fontId="0" fillId="28" borderId="72" xfId="0" applyFill="1" applyBorder="1" applyAlignment="1">
      <alignment/>
    </xf>
    <xf numFmtId="0" fontId="0" fillId="28" borderId="73" xfId="0" applyFill="1" applyBorder="1" applyAlignment="1">
      <alignment/>
    </xf>
    <xf numFmtId="0" fontId="0" fillId="0" borderId="67" xfId="0" applyBorder="1" applyAlignment="1">
      <alignment vertical="center" wrapText="1"/>
    </xf>
    <xf numFmtId="0" fontId="0" fillId="0" borderId="66" xfId="0" applyBorder="1" applyAlignment="1">
      <alignment vertical="center" wrapText="1"/>
    </xf>
    <xf numFmtId="0" fontId="0" fillId="0" borderId="67" xfId="0" applyBorder="1" applyAlignment="1">
      <alignment vertical="center"/>
    </xf>
    <xf numFmtId="0" fontId="0" fillId="0" borderId="66" xfId="0" applyBorder="1" applyAlignment="1">
      <alignment vertical="center"/>
    </xf>
    <xf numFmtId="164" fontId="19" fillId="0" borderId="89" xfId="0" applyNumberFormat="1" applyFont="1" applyBorder="1" applyAlignment="1">
      <alignment horizontal="center" vertical="top" wrapText="1"/>
    </xf>
    <xf numFmtId="0" fontId="0" fillId="0" borderId="90" xfId="0" applyBorder="1" applyAlignment="1">
      <alignment horizontal="center" vertical="top" wrapText="1"/>
    </xf>
    <xf numFmtId="0" fontId="0" fillId="0" borderId="91" xfId="0" applyBorder="1" applyAlignment="1">
      <alignment horizontal="center" vertical="top" wrapText="1"/>
    </xf>
    <xf numFmtId="0" fontId="0" fillId="28" borderId="64" xfId="0" applyFill="1" applyBorder="1" applyAlignment="1">
      <alignment/>
    </xf>
    <xf numFmtId="0" fontId="34" fillId="22" borderId="92" xfId="0" applyFont="1" applyFill="1" applyBorder="1" applyAlignment="1">
      <alignment horizontal="center" vertical="center" wrapText="1"/>
    </xf>
    <xf numFmtId="0" fontId="34" fillId="22" borderId="18" xfId="0" applyFont="1" applyFill="1" applyBorder="1" applyAlignment="1">
      <alignment horizontal="center" vertical="center" wrapText="1"/>
    </xf>
    <xf numFmtId="0" fontId="34" fillId="22" borderId="93" xfId="0" applyFont="1" applyFill="1" applyBorder="1" applyAlignment="1">
      <alignment horizontal="center" vertical="center" wrapText="1"/>
    </xf>
    <xf numFmtId="0" fontId="34" fillId="22" borderId="14" xfId="0" applyFont="1" applyFill="1" applyBorder="1" applyAlignment="1">
      <alignment horizontal="center" vertical="center"/>
    </xf>
    <xf numFmtId="0" fontId="34" fillId="26" borderId="94" xfId="0" applyFont="1" applyFill="1" applyBorder="1" applyAlignment="1">
      <alignment horizontal="center" vertical="center" wrapText="1"/>
    </xf>
    <xf numFmtId="0" fontId="34" fillId="26" borderId="34" xfId="0" applyFont="1" applyFill="1" applyBorder="1" applyAlignment="1">
      <alignment horizontal="center" vertical="center" wrapText="1"/>
    </xf>
    <xf numFmtId="0" fontId="40" fillId="4" borderId="90" xfId="0" applyFont="1" applyFill="1" applyBorder="1" applyAlignment="1">
      <alignment horizontal="center" vertical="center" wrapText="1"/>
    </xf>
    <xf numFmtId="0" fontId="40" fillId="4" borderId="0" xfId="0" applyFont="1" applyFill="1" applyBorder="1" applyAlignment="1">
      <alignment horizontal="center" vertical="center" wrapText="1"/>
    </xf>
    <xf numFmtId="0" fontId="34" fillId="22" borderId="95" xfId="0" applyFont="1" applyFill="1" applyBorder="1" applyAlignment="1">
      <alignment horizontal="center" vertical="center" wrapText="1"/>
    </xf>
    <xf numFmtId="0" fontId="34" fillId="22" borderId="0" xfId="0" applyFont="1" applyFill="1" applyBorder="1" applyAlignment="1">
      <alignment horizontal="center" vertical="center" wrapText="1"/>
    </xf>
    <xf numFmtId="0" fontId="37" fillId="0" borderId="96" xfId="0" applyFont="1" applyBorder="1" applyAlignment="1">
      <alignment horizontal="center" vertical="center" wrapText="1"/>
    </xf>
    <xf numFmtId="0" fontId="34" fillId="22" borderId="14" xfId="0" applyFont="1" applyFill="1" applyBorder="1" applyAlignment="1">
      <alignment horizontal="center" vertical="center" wrapText="1"/>
    </xf>
    <xf numFmtId="0" fontId="34" fillId="0" borderId="22" xfId="0" applyFont="1" applyBorder="1" applyAlignment="1">
      <alignment horizontal="left" vertical="center" wrapText="1"/>
    </xf>
    <xf numFmtId="0" fontId="37" fillId="0" borderId="78" xfId="0" applyFont="1" applyBorder="1" applyAlignment="1">
      <alignment vertical="center"/>
    </xf>
    <xf numFmtId="0" fontId="37" fillId="0" borderId="22" xfId="0" applyFont="1" applyFill="1" applyBorder="1" applyAlignment="1">
      <alignment horizontal="left" vertical="center" wrapText="1"/>
    </xf>
    <xf numFmtId="0" fontId="37" fillId="0" borderId="13" xfId="0" applyFont="1" applyFill="1" applyBorder="1" applyAlignment="1">
      <alignment horizontal="left" vertical="center" wrapText="1"/>
    </xf>
    <xf numFmtId="0" fontId="37" fillId="0" borderId="13" xfId="0" applyFont="1" applyFill="1" applyBorder="1" applyAlignment="1">
      <alignment horizontal="center" vertical="center" textRotation="90" wrapText="1"/>
    </xf>
    <xf numFmtId="0" fontId="37" fillId="0" borderId="13" xfId="0" applyFont="1" applyBorder="1" applyAlignment="1">
      <alignment horizontal="left" vertical="center" wrapText="1"/>
    </xf>
    <xf numFmtId="0" fontId="37" fillId="0" borderId="22" xfId="0" applyFont="1" applyBorder="1" applyAlignment="1">
      <alignment horizontal="left" vertical="center" wrapText="1"/>
    </xf>
    <xf numFmtId="0" fontId="34" fillId="0" borderId="29" xfId="0" applyFont="1" applyFill="1" applyBorder="1" applyAlignment="1">
      <alignment horizontal="left" vertical="center" wrapText="1"/>
    </xf>
    <xf numFmtId="0" fontId="34" fillId="0" borderId="97" xfId="0" applyFont="1" applyFill="1" applyBorder="1" applyAlignment="1">
      <alignment horizontal="left" vertical="center" wrapText="1"/>
    </xf>
    <xf numFmtId="0" fontId="37" fillId="0" borderId="13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 textRotation="90"/>
    </xf>
    <xf numFmtId="0" fontId="34" fillId="0" borderId="13" xfId="0" applyFont="1" applyBorder="1" applyAlignment="1">
      <alignment horizontal="left" vertical="center" wrapText="1"/>
    </xf>
    <xf numFmtId="0" fontId="34" fillId="22" borderId="13" xfId="0" applyFont="1" applyFill="1" applyBorder="1" applyAlignment="1">
      <alignment horizontal="left" vertical="center" wrapText="1"/>
    </xf>
    <xf numFmtId="0" fontId="34" fillId="22" borderId="22" xfId="0" applyFont="1" applyFill="1" applyBorder="1" applyAlignment="1">
      <alignment horizontal="left" vertical="center" wrapText="1"/>
    </xf>
    <xf numFmtId="0" fontId="34" fillId="22" borderId="98" xfId="0" applyFont="1" applyFill="1" applyBorder="1" applyAlignment="1">
      <alignment horizontal="center" vertical="center"/>
    </xf>
    <xf numFmtId="0" fontId="37" fillId="0" borderId="22" xfId="0" applyFont="1" applyBorder="1" applyAlignment="1">
      <alignment vertical="center" wrapText="1"/>
    </xf>
    <xf numFmtId="0" fontId="0" fillId="0" borderId="78" xfId="0" applyBorder="1" applyAlignment="1">
      <alignment vertical="center" wrapText="1"/>
    </xf>
    <xf numFmtId="0" fontId="34" fillId="0" borderId="14" xfId="0" applyFont="1" applyBorder="1" applyAlignment="1">
      <alignment horizontal="left" vertical="center"/>
    </xf>
    <xf numFmtId="0" fontId="34" fillId="0" borderId="19" xfId="0" applyFont="1" applyBorder="1" applyAlignment="1">
      <alignment horizontal="left" vertical="center"/>
    </xf>
    <xf numFmtId="0" fontId="37" fillId="0" borderId="17" xfId="0" applyFont="1" applyFill="1" applyBorder="1" applyAlignment="1">
      <alignment horizontal="center" vertical="center" textRotation="90" wrapText="1"/>
    </xf>
    <xf numFmtId="0" fontId="37" fillId="0" borderId="47" xfId="0" applyFont="1" applyFill="1" applyBorder="1" applyAlignment="1">
      <alignment horizontal="center" vertical="center" textRotation="90" wrapText="1"/>
    </xf>
    <xf numFmtId="0" fontId="37" fillId="0" borderId="31" xfId="0" applyFont="1" applyFill="1" applyBorder="1" applyAlignment="1">
      <alignment horizontal="center" vertical="center" textRotation="90" wrapText="1"/>
    </xf>
    <xf numFmtId="0" fontId="34" fillId="22" borderId="35" xfId="0" applyFont="1" applyFill="1" applyBorder="1" applyAlignment="1">
      <alignment horizontal="center" vertical="center"/>
    </xf>
    <xf numFmtId="0" fontId="34" fillId="0" borderId="14" xfId="0" applyFont="1" applyBorder="1" applyAlignment="1">
      <alignment horizontal="left" vertical="center" wrapText="1"/>
    </xf>
    <xf numFmtId="0" fontId="34" fillId="0" borderId="19" xfId="0" applyFont="1" applyBorder="1" applyAlignment="1">
      <alignment horizontal="left" vertical="center" wrapText="1"/>
    </xf>
    <xf numFmtId="0" fontId="34" fillId="35" borderId="21" xfId="0" applyFont="1" applyFill="1" applyBorder="1" applyAlignment="1">
      <alignment horizontal="center" vertical="center"/>
    </xf>
    <xf numFmtId="0" fontId="34" fillId="0" borderId="26" xfId="0" applyFont="1" applyBorder="1" applyAlignment="1">
      <alignment horizontal="left" vertical="center" wrapText="1"/>
    </xf>
    <xf numFmtId="0" fontId="34" fillId="0" borderId="79" xfId="0" applyFont="1" applyBorder="1" applyAlignment="1">
      <alignment horizontal="left" vertical="center" wrapText="1"/>
    </xf>
    <xf numFmtId="0" fontId="37" fillId="0" borderId="22" xfId="0" applyFont="1" applyBorder="1" applyAlignment="1">
      <alignment horizontal="left" vertical="center"/>
    </xf>
    <xf numFmtId="0" fontId="37" fillId="0" borderId="78" xfId="0" applyFont="1" applyBorder="1" applyAlignment="1">
      <alignment horizontal="left" vertical="center"/>
    </xf>
    <xf numFmtId="0" fontId="34" fillId="22" borderId="30" xfId="0" applyFont="1" applyFill="1" applyBorder="1" applyAlignment="1">
      <alignment horizontal="center" vertical="center"/>
    </xf>
    <xf numFmtId="0" fontId="34" fillId="22" borderId="99" xfId="0" applyFont="1" applyFill="1" applyBorder="1" applyAlignment="1">
      <alignment horizontal="center" vertical="center" wrapText="1"/>
    </xf>
    <xf numFmtId="0" fontId="34" fillId="22" borderId="100" xfId="0" applyFont="1" applyFill="1" applyBorder="1" applyAlignment="1">
      <alignment horizontal="center" vertical="center" wrapText="1"/>
    </xf>
    <xf numFmtId="0" fontId="34" fillId="22" borderId="101" xfId="0" applyFont="1" applyFill="1" applyBorder="1" applyAlignment="1">
      <alignment horizontal="center" vertical="center" wrapText="1"/>
    </xf>
    <xf numFmtId="0" fontId="34" fillId="22" borderId="98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left" vertical="center" wrapText="1"/>
    </xf>
    <xf numFmtId="0" fontId="34" fillId="0" borderId="22" xfId="0" applyFont="1" applyFill="1" applyBorder="1" applyAlignment="1">
      <alignment horizontal="left" vertical="center" wrapText="1"/>
    </xf>
    <xf numFmtId="0" fontId="37" fillId="0" borderId="13" xfId="0" applyFont="1" applyBorder="1" applyAlignment="1">
      <alignment horizontal="center" vertical="center" textRotation="90"/>
    </xf>
    <xf numFmtId="0" fontId="34" fillId="22" borderId="96" xfId="0" applyFont="1" applyFill="1" applyBorder="1" applyAlignment="1">
      <alignment horizontal="center" vertical="center" wrapText="1"/>
    </xf>
    <xf numFmtId="0" fontId="34" fillId="22" borderId="102" xfId="0" applyFont="1" applyFill="1" applyBorder="1" applyAlignment="1">
      <alignment horizontal="center" vertical="center" wrapText="1"/>
    </xf>
    <xf numFmtId="0" fontId="34" fillId="22" borderId="90" xfId="0" applyFont="1" applyFill="1" applyBorder="1" applyAlignment="1">
      <alignment horizontal="center" vertical="center" wrapText="1"/>
    </xf>
    <xf numFmtId="0" fontId="0" fillId="0" borderId="100" xfId="0" applyBorder="1" applyAlignment="1">
      <alignment/>
    </xf>
    <xf numFmtId="0" fontId="34" fillId="22" borderId="103" xfId="0" applyFont="1" applyFill="1" applyBorder="1" applyAlignment="1">
      <alignment horizontal="center" vertical="center"/>
    </xf>
    <xf numFmtId="0" fontId="34" fillId="22" borderId="27" xfId="0" applyFont="1" applyFill="1" applyBorder="1" applyAlignment="1">
      <alignment horizontal="center" vertical="center"/>
    </xf>
    <xf numFmtId="0" fontId="34" fillId="22" borderId="104" xfId="0" applyFont="1" applyFill="1" applyBorder="1" applyAlignment="1">
      <alignment horizontal="center" vertical="center"/>
    </xf>
    <xf numFmtId="0" fontId="34" fillId="26" borderId="30" xfId="0" applyFont="1" applyFill="1" applyBorder="1" applyAlignment="1">
      <alignment horizontal="center" vertical="center" wrapText="1"/>
    </xf>
    <xf numFmtId="0" fontId="34" fillId="26" borderId="14" xfId="0" applyFont="1" applyFill="1" applyBorder="1" applyAlignment="1">
      <alignment horizontal="center" vertical="center" wrapText="1"/>
    </xf>
    <xf numFmtId="0" fontId="34" fillId="26" borderId="30" xfId="0" applyFont="1" applyFill="1" applyBorder="1" applyAlignment="1">
      <alignment horizontal="center" vertical="center"/>
    </xf>
    <xf numFmtId="0" fontId="34" fillId="26" borderId="14" xfId="0" applyFont="1" applyFill="1" applyBorder="1" applyAlignment="1">
      <alignment horizontal="center" vertical="center"/>
    </xf>
    <xf numFmtId="0" fontId="34" fillId="22" borderId="105" xfId="0" applyFont="1" applyFill="1" applyBorder="1" applyAlignment="1">
      <alignment horizontal="center" vertical="center"/>
    </xf>
    <xf numFmtId="0" fontId="34" fillId="35" borderId="106" xfId="0" applyFont="1" applyFill="1" applyBorder="1" applyAlignment="1">
      <alignment horizontal="center" vertical="center"/>
    </xf>
    <xf numFmtId="0" fontId="34" fillId="22" borderId="23" xfId="0" applyFont="1" applyFill="1" applyBorder="1" applyAlignment="1">
      <alignment horizontal="center" vertical="center"/>
    </xf>
    <xf numFmtId="0" fontId="30" fillId="0" borderId="43" xfId="0" applyFont="1" applyBorder="1" applyAlignment="1">
      <alignment horizontal="center" vertical="center"/>
    </xf>
    <xf numFmtId="0" fontId="34" fillId="22" borderId="10" xfId="0" applyFont="1" applyFill="1" applyBorder="1" applyAlignment="1">
      <alignment horizontal="center" vertical="center"/>
    </xf>
    <xf numFmtId="0" fontId="39" fillId="22" borderId="11" xfId="0" applyFont="1" applyFill="1" applyBorder="1" applyAlignment="1">
      <alignment horizontal="center" vertical="center"/>
    </xf>
    <xf numFmtId="0" fontId="34" fillId="22" borderId="88" xfId="0" applyFont="1" applyFill="1" applyBorder="1" applyAlignment="1">
      <alignment horizontal="center" vertical="center"/>
    </xf>
    <xf numFmtId="0" fontId="34" fillId="22" borderId="36" xfId="0" applyFont="1" applyFill="1" applyBorder="1" applyAlignment="1">
      <alignment horizontal="center" vertical="center"/>
    </xf>
    <xf numFmtId="0" fontId="40" fillId="4" borderId="90" xfId="0" applyFont="1" applyFill="1" applyBorder="1" applyAlignment="1">
      <alignment horizontal="center" vertical="top"/>
    </xf>
    <xf numFmtId="0" fontId="43" fillId="22" borderId="16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33" fillId="22" borderId="33" xfId="0" applyFont="1" applyFill="1" applyBorder="1" applyAlignment="1">
      <alignment horizontal="center" vertical="center" wrapText="1"/>
    </xf>
    <xf numFmtId="0" fontId="33" fillId="22" borderId="107" xfId="0" applyFont="1" applyFill="1" applyBorder="1" applyAlignment="1">
      <alignment horizontal="center" vertical="center" wrapText="1"/>
    </xf>
    <xf numFmtId="0" fontId="30" fillId="0" borderId="107" xfId="0" applyFont="1" applyBorder="1" applyAlignment="1">
      <alignment horizontal="center" vertical="center" wrapText="1"/>
    </xf>
    <xf numFmtId="0" fontId="0" fillId="0" borderId="108" xfId="0" applyBorder="1" applyAlignment="1">
      <alignment horizontal="center" vertical="center" wrapText="1"/>
    </xf>
    <xf numFmtId="0" fontId="33" fillId="38" borderId="14" xfId="0" applyFont="1" applyFill="1" applyBorder="1" applyAlignment="1">
      <alignment horizontal="center" vertical="center" wrapText="1"/>
    </xf>
    <xf numFmtId="0" fontId="0" fillId="40" borderId="14" xfId="0" applyFill="1" applyBorder="1" applyAlignment="1">
      <alignment horizontal="center" vertical="center" wrapText="1"/>
    </xf>
    <xf numFmtId="0" fontId="33" fillId="22" borderId="16" xfId="0" applyFont="1" applyFill="1" applyBorder="1" applyAlignment="1">
      <alignment horizontal="center" vertical="center" wrapText="1"/>
    </xf>
    <xf numFmtId="0" fontId="33" fillId="22" borderId="15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33" fillId="22" borderId="47" xfId="0" applyFont="1" applyFill="1" applyBorder="1" applyAlignment="1">
      <alignment horizontal="center" vertical="center"/>
    </xf>
    <xf numFmtId="0" fontId="30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3" fillId="22" borderId="15" xfId="0" applyFont="1" applyFill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53" fillId="22" borderId="15" xfId="0" applyFont="1" applyFill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54" fillId="22" borderId="33" xfId="0" applyFont="1" applyFill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3" fillId="22" borderId="94" xfId="0" applyFont="1" applyFill="1" applyBorder="1" applyAlignment="1">
      <alignment horizontal="center" vertical="center" wrapText="1"/>
    </xf>
    <xf numFmtId="0" fontId="33" fillId="22" borderId="44" xfId="0" applyFont="1" applyFill="1" applyBorder="1" applyAlignment="1">
      <alignment horizontal="center" vertical="center"/>
    </xf>
    <xf numFmtId="0" fontId="33" fillId="22" borderId="76" xfId="0" applyFont="1" applyFill="1" applyBorder="1" applyAlignment="1">
      <alignment horizontal="center" vertical="center"/>
    </xf>
    <xf numFmtId="0" fontId="53" fillId="22" borderId="76" xfId="0" applyFont="1" applyFill="1" applyBorder="1" applyAlignment="1">
      <alignment horizontal="center" vertical="center" wrapText="1"/>
    </xf>
    <xf numFmtId="0" fontId="54" fillId="22" borderId="30" xfId="0" applyFont="1" applyFill="1" applyBorder="1" applyAlignment="1">
      <alignment horizontal="center" vertical="center" wrapText="1"/>
    </xf>
    <xf numFmtId="0" fontId="33" fillId="22" borderId="76" xfId="0" applyFont="1" applyFill="1" applyBorder="1" applyAlignment="1">
      <alignment horizontal="center" vertical="center" wrapText="1"/>
    </xf>
    <xf numFmtId="0" fontId="42" fillId="4" borderId="103" xfId="0" applyFont="1" applyFill="1" applyBorder="1" applyAlignment="1">
      <alignment horizontal="center" vertical="center"/>
    </xf>
    <xf numFmtId="0" fontId="42" fillId="4" borderId="104" xfId="0" applyFont="1" applyFill="1" applyBorder="1" applyAlignment="1">
      <alignment horizontal="center" vertical="center"/>
    </xf>
    <xf numFmtId="0" fontId="33" fillId="22" borderId="30" xfId="0" applyFont="1" applyFill="1" applyBorder="1" applyAlignment="1">
      <alignment horizontal="center" vertical="center" wrapText="1"/>
    </xf>
    <xf numFmtId="0" fontId="34" fillId="25" borderId="14" xfId="0" applyFont="1" applyFill="1" applyBorder="1" applyAlignment="1">
      <alignment horizontal="center" vertical="center" wrapText="1"/>
    </xf>
    <xf numFmtId="0" fontId="41" fillId="0" borderId="16" xfId="0" applyFont="1" applyFill="1" applyBorder="1" applyAlignment="1">
      <alignment horizontal="left" vertical="center" wrapText="1"/>
    </xf>
    <xf numFmtId="0" fontId="41" fillId="0" borderId="15" xfId="0" applyFont="1" applyFill="1" applyBorder="1" applyAlignment="1">
      <alignment horizontal="left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33" fillId="22" borderId="14" xfId="0" applyFont="1" applyFill="1" applyBorder="1" applyAlignment="1">
      <alignment horizontal="center" vertical="center" wrapText="1"/>
    </xf>
    <xf numFmtId="0" fontId="33" fillId="22" borderId="17" xfId="0" applyFont="1" applyFill="1" applyBorder="1" applyAlignment="1">
      <alignment horizontal="center" vertical="center"/>
    </xf>
    <xf numFmtId="0" fontId="33" fillId="22" borderId="16" xfId="0" applyFont="1" applyFill="1" applyBorder="1" applyAlignment="1">
      <alignment horizontal="center" vertical="center"/>
    </xf>
    <xf numFmtId="0" fontId="54" fillId="22" borderId="14" xfId="0" applyFont="1" applyFill="1" applyBorder="1" applyAlignment="1">
      <alignment horizontal="center" vertical="center" wrapText="1"/>
    </xf>
    <xf numFmtId="0" fontId="53" fillId="22" borderId="16" xfId="0" applyFont="1" applyFill="1" applyBorder="1" applyAlignment="1">
      <alignment horizontal="center" vertical="center" wrapText="1"/>
    </xf>
    <xf numFmtId="0" fontId="33" fillId="22" borderId="109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zoomScale="90" zoomScaleNormal="90" zoomScalePageLayoutView="0" workbookViewId="0" topLeftCell="A1">
      <selection activeCell="D40" sqref="D40"/>
    </sheetView>
  </sheetViews>
  <sheetFormatPr defaultColWidth="9.140625" defaultRowHeight="12.75"/>
  <cols>
    <col min="1" max="1" width="15.140625" style="0" customWidth="1"/>
    <col min="2" max="2" width="6.57421875" style="1" customWidth="1"/>
    <col min="3" max="3" width="15.8515625" style="0" customWidth="1"/>
    <col min="4" max="4" width="12.7109375" style="0" customWidth="1"/>
    <col min="5" max="5" width="14.140625" style="2" customWidth="1"/>
    <col min="6" max="6" width="10.7109375" style="0" customWidth="1"/>
    <col min="7" max="7" width="10.8515625" style="0" customWidth="1"/>
    <col min="8" max="8" width="15.28125" style="0" customWidth="1"/>
  </cols>
  <sheetData>
    <row r="1" spans="1:7" ht="46.5" customHeight="1" thickBot="1">
      <c r="A1" s="534" t="s">
        <v>221</v>
      </c>
      <c r="B1" s="534"/>
      <c r="C1" s="534"/>
      <c r="D1" s="534"/>
      <c r="E1" s="534"/>
      <c r="F1" s="534"/>
      <c r="G1" s="534"/>
    </row>
    <row r="2" spans="1:7" ht="26.25" thickBot="1">
      <c r="A2" s="3" t="s">
        <v>0</v>
      </c>
      <c r="B2" s="4"/>
      <c r="C2" s="5" t="s">
        <v>1</v>
      </c>
      <c r="D2" s="6" t="s">
        <v>2</v>
      </c>
      <c r="E2" s="7" t="s">
        <v>3</v>
      </c>
      <c r="F2" s="6" t="s">
        <v>4</v>
      </c>
      <c r="G2" s="8" t="s">
        <v>5</v>
      </c>
    </row>
    <row r="3" spans="1:7" ht="15">
      <c r="A3" s="9" t="s">
        <v>6</v>
      </c>
      <c r="B3" s="10">
        <v>90</v>
      </c>
      <c r="C3" s="11">
        <v>2100000</v>
      </c>
      <c r="D3" s="12">
        <v>0</v>
      </c>
      <c r="E3" s="13">
        <v>0</v>
      </c>
      <c r="F3" s="13">
        <v>0</v>
      </c>
      <c r="G3" s="13"/>
    </row>
    <row r="4" spans="1:7" ht="0.75" customHeight="1" thickBot="1">
      <c r="A4" s="27" t="s">
        <v>7</v>
      </c>
      <c r="B4" s="15">
        <v>90</v>
      </c>
      <c r="C4" s="28">
        <f>C3</f>
        <v>2100000</v>
      </c>
      <c r="D4" s="12">
        <v>0</v>
      </c>
      <c r="E4" s="238">
        <f>B4*C4*5.5%/360</f>
        <v>28875</v>
      </c>
      <c r="F4" s="238">
        <v>0</v>
      </c>
      <c r="G4" s="238">
        <f>E3+E4</f>
        <v>28875</v>
      </c>
    </row>
    <row r="5" spans="1:7" s="2" customFormat="1" ht="15">
      <c r="A5" s="239" t="s">
        <v>8</v>
      </c>
      <c r="B5" s="240">
        <v>90</v>
      </c>
      <c r="C5" s="241">
        <f aca="true" t="shared" si="0" ref="C5:C39">C4-D4</f>
        <v>2100000</v>
      </c>
      <c r="D5" s="242">
        <v>12500</v>
      </c>
      <c r="E5" s="243">
        <f>B5*C5*0.07/360</f>
        <v>36750.00000000001</v>
      </c>
      <c r="F5" s="243"/>
      <c r="G5" s="243"/>
    </row>
    <row r="6" spans="1:8" ht="15">
      <c r="A6" s="244" t="s">
        <v>9</v>
      </c>
      <c r="B6" s="245">
        <v>90</v>
      </c>
      <c r="C6" s="246">
        <f t="shared" si="0"/>
        <v>2087500</v>
      </c>
      <c r="D6" s="247">
        <v>12500</v>
      </c>
      <c r="E6" s="248">
        <f>B6*C6*0.07/360</f>
        <v>36531.25000000001</v>
      </c>
      <c r="F6" s="248"/>
      <c r="G6" s="248"/>
      <c r="H6" s="14">
        <f>SUM(D5:D8)</f>
        <v>50000</v>
      </c>
    </row>
    <row r="7" spans="1:7" ht="15">
      <c r="A7" s="244" t="s">
        <v>10</v>
      </c>
      <c r="B7" s="245">
        <v>90</v>
      </c>
      <c r="C7" s="246">
        <f t="shared" si="0"/>
        <v>2075000</v>
      </c>
      <c r="D7" s="247">
        <f aca="true" t="shared" si="1" ref="D7:D25">D6</f>
        <v>12500</v>
      </c>
      <c r="E7" s="248">
        <f aca="true" t="shared" si="2" ref="E7:E40">B7*C7*0.07/360</f>
        <v>36312.50000000001</v>
      </c>
      <c r="F7" s="248"/>
      <c r="G7" s="248"/>
    </row>
    <row r="8" spans="1:7" ht="15.75" thickBot="1">
      <c r="A8" s="249" t="s">
        <v>11</v>
      </c>
      <c r="B8" s="250">
        <v>90</v>
      </c>
      <c r="C8" s="251">
        <f t="shared" si="0"/>
        <v>2062500</v>
      </c>
      <c r="D8" s="252">
        <f t="shared" si="1"/>
        <v>12500</v>
      </c>
      <c r="E8" s="253">
        <f>B8*C8*0.07/360</f>
        <v>36093.75000000001</v>
      </c>
      <c r="F8" s="253">
        <v>50000</v>
      </c>
      <c r="G8" s="253">
        <v>173688</v>
      </c>
    </row>
    <row r="9" spans="1:7" ht="15">
      <c r="A9" s="239" t="s">
        <v>12</v>
      </c>
      <c r="B9" s="240">
        <v>90</v>
      </c>
      <c r="C9" s="241">
        <f t="shared" si="0"/>
        <v>2050000</v>
      </c>
      <c r="D9" s="242">
        <f t="shared" si="1"/>
        <v>12500</v>
      </c>
      <c r="E9" s="243">
        <f t="shared" si="2"/>
        <v>35875.00000000001</v>
      </c>
      <c r="F9" s="243"/>
      <c r="G9" s="243"/>
    </row>
    <row r="10" spans="1:8" ht="15">
      <c r="A10" s="244" t="s">
        <v>13</v>
      </c>
      <c r="B10" s="245">
        <v>90</v>
      </c>
      <c r="C10" s="246">
        <f t="shared" si="0"/>
        <v>2037500</v>
      </c>
      <c r="D10" s="247">
        <f t="shared" si="1"/>
        <v>12500</v>
      </c>
      <c r="E10" s="248">
        <f t="shared" si="2"/>
        <v>35656.25000000001</v>
      </c>
      <c r="F10" s="248"/>
      <c r="G10" s="248"/>
      <c r="H10" s="14">
        <v>50000</v>
      </c>
    </row>
    <row r="11" spans="1:7" ht="15">
      <c r="A11" s="244" t="s">
        <v>14</v>
      </c>
      <c r="B11" s="245">
        <v>90</v>
      </c>
      <c r="C11" s="246">
        <f t="shared" si="0"/>
        <v>2025000</v>
      </c>
      <c r="D11" s="247">
        <f t="shared" si="1"/>
        <v>12500</v>
      </c>
      <c r="E11" s="248">
        <f t="shared" si="2"/>
        <v>35437.50000000001</v>
      </c>
      <c r="F11" s="248"/>
      <c r="G11" s="248"/>
    </row>
    <row r="12" spans="1:7" ht="15.75" thickBot="1">
      <c r="A12" s="249" t="s">
        <v>15</v>
      </c>
      <c r="B12" s="250">
        <v>90</v>
      </c>
      <c r="C12" s="251">
        <f t="shared" si="0"/>
        <v>2012500</v>
      </c>
      <c r="D12" s="252">
        <f t="shared" si="1"/>
        <v>12500</v>
      </c>
      <c r="E12" s="253">
        <f t="shared" si="2"/>
        <v>35218.75000000001</v>
      </c>
      <c r="F12" s="253">
        <f>SUM(D9:D12)</f>
        <v>50000</v>
      </c>
      <c r="G12" s="253">
        <v>170188</v>
      </c>
    </row>
    <row r="13" spans="1:7" ht="15">
      <c r="A13" s="239" t="s">
        <v>16</v>
      </c>
      <c r="B13" s="240">
        <v>90</v>
      </c>
      <c r="C13" s="241">
        <f t="shared" si="0"/>
        <v>2000000</v>
      </c>
      <c r="D13" s="242">
        <f t="shared" si="1"/>
        <v>12500</v>
      </c>
      <c r="E13" s="243">
        <f t="shared" si="2"/>
        <v>35000.00000000001</v>
      </c>
      <c r="F13" s="243"/>
      <c r="G13" s="243"/>
    </row>
    <row r="14" spans="1:8" ht="15">
      <c r="A14" s="244" t="s">
        <v>17</v>
      </c>
      <c r="B14" s="245">
        <v>90</v>
      </c>
      <c r="C14" s="246">
        <f t="shared" si="0"/>
        <v>1987500</v>
      </c>
      <c r="D14" s="247">
        <f t="shared" si="1"/>
        <v>12500</v>
      </c>
      <c r="E14" s="248">
        <f t="shared" si="2"/>
        <v>34781.25000000001</v>
      </c>
      <c r="F14" s="248"/>
      <c r="G14" s="248"/>
      <c r="H14" s="14">
        <v>50000</v>
      </c>
    </row>
    <row r="15" spans="1:7" ht="15">
      <c r="A15" s="244" t="s">
        <v>18</v>
      </c>
      <c r="B15" s="245">
        <v>90</v>
      </c>
      <c r="C15" s="246">
        <f t="shared" si="0"/>
        <v>1975000</v>
      </c>
      <c r="D15" s="247">
        <f t="shared" si="1"/>
        <v>12500</v>
      </c>
      <c r="E15" s="248">
        <f t="shared" si="2"/>
        <v>34562.50000000001</v>
      </c>
      <c r="F15" s="248"/>
      <c r="G15" s="248"/>
    </row>
    <row r="16" spans="1:7" ht="15.75" thickBot="1">
      <c r="A16" s="249" t="s">
        <v>19</v>
      </c>
      <c r="B16" s="250">
        <v>90</v>
      </c>
      <c r="C16" s="251">
        <f t="shared" si="0"/>
        <v>1962500</v>
      </c>
      <c r="D16" s="252">
        <f t="shared" si="1"/>
        <v>12500</v>
      </c>
      <c r="E16" s="253">
        <f>B16*C16*0.07/360</f>
        <v>34343.75000000001</v>
      </c>
      <c r="F16" s="253">
        <f>SUM(D13:D16)</f>
        <v>50000</v>
      </c>
      <c r="G16" s="253">
        <v>166688</v>
      </c>
    </row>
    <row r="17" spans="1:7" ht="15">
      <c r="A17" s="239" t="s">
        <v>20</v>
      </c>
      <c r="B17" s="240">
        <v>90</v>
      </c>
      <c r="C17" s="241">
        <f t="shared" si="0"/>
        <v>1950000</v>
      </c>
      <c r="D17" s="242">
        <f t="shared" si="1"/>
        <v>12500</v>
      </c>
      <c r="E17" s="243">
        <f t="shared" si="2"/>
        <v>34125.00000000001</v>
      </c>
      <c r="F17" s="243"/>
      <c r="G17" s="243"/>
    </row>
    <row r="18" spans="1:8" ht="15">
      <c r="A18" s="244" t="s">
        <v>21</v>
      </c>
      <c r="B18" s="245">
        <v>90</v>
      </c>
      <c r="C18" s="246">
        <f t="shared" si="0"/>
        <v>1937500</v>
      </c>
      <c r="D18" s="247">
        <f t="shared" si="1"/>
        <v>12500</v>
      </c>
      <c r="E18" s="248">
        <f t="shared" si="2"/>
        <v>33906.25000000001</v>
      </c>
      <c r="F18" s="248"/>
      <c r="G18" s="248"/>
      <c r="H18" s="14">
        <v>50000</v>
      </c>
    </row>
    <row r="19" spans="1:8" s="17" customFormat="1" ht="15">
      <c r="A19" s="254" t="s">
        <v>22</v>
      </c>
      <c r="B19" s="255">
        <v>90</v>
      </c>
      <c r="C19" s="246">
        <f t="shared" si="0"/>
        <v>1925000</v>
      </c>
      <c r="D19" s="247">
        <f t="shared" si="1"/>
        <v>12500</v>
      </c>
      <c r="E19" s="248">
        <f t="shared" si="2"/>
        <v>33687.50000000001</v>
      </c>
      <c r="F19" s="256"/>
      <c r="G19" s="256"/>
      <c r="H19" s="16"/>
    </row>
    <row r="20" spans="1:7" s="17" customFormat="1" ht="15.75" thickBot="1">
      <c r="A20" s="260" t="s">
        <v>23</v>
      </c>
      <c r="B20" s="261">
        <v>90</v>
      </c>
      <c r="C20" s="262">
        <f t="shared" si="0"/>
        <v>1912500</v>
      </c>
      <c r="D20" s="263">
        <f t="shared" si="1"/>
        <v>12500</v>
      </c>
      <c r="E20" s="264">
        <f t="shared" si="2"/>
        <v>33468.75000000001</v>
      </c>
      <c r="F20" s="265">
        <f>SUM(D17:D20)</f>
        <v>50000</v>
      </c>
      <c r="G20" s="265">
        <v>163188</v>
      </c>
    </row>
    <row r="21" spans="1:7" ht="15">
      <c r="A21" s="239" t="s">
        <v>24</v>
      </c>
      <c r="B21" s="240">
        <v>90</v>
      </c>
      <c r="C21" s="241">
        <f t="shared" si="0"/>
        <v>1900000</v>
      </c>
      <c r="D21" s="242">
        <f t="shared" si="1"/>
        <v>12500</v>
      </c>
      <c r="E21" s="243">
        <f t="shared" si="2"/>
        <v>33250.00000000001</v>
      </c>
      <c r="F21" s="243"/>
      <c r="G21" s="243"/>
    </row>
    <row r="22" spans="1:8" ht="15">
      <c r="A22" s="244" t="s">
        <v>25</v>
      </c>
      <c r="B22" s="245">
        <v>90</v>
      </c>
      <c r="C22" s="246">
        <f t="shared" si="0"/>
        <v>1887500</v>
      </c>
      <c r="D22" s="247">
        <f t="shared" si="1"/>
        <v>12500</v>
      </c>
      <c r="E22" s="248">
        <f t="shared" si="2"/>
        <v>33031.25000000001</v>
      </c>
      <c r="F22" s="248"/>
      <c r="G22" s="248"/>
      <c r="H22" s="14">
        <v>50000</v>
      </c>
    </row>
    <row r="23" spans="1:7" ht="15">
      <c r="A23" s="244" t="s">
        <v>26</v>
      </c>
      <c r="B23" s="245">
        <v>90</v>
      </c>
      <c r="C23" s="246">
        <f t="shared" si="0"/>
        <v>1875000</v>
      </c>
      <c r="D23" s="247">
        <f t="shared" si="1"/>
        <v>12500</v>
      </c>
      <c r="E23" s="248">
        <f t="shared" si="2"/>
        <v>32812.50000000001</v>
      </c>
      <c r="F23" s="248"/>
      <c r="G23" s="248"/>
    </row>
    <row r="24" spans="1:7" ht="15.75" thickBot="1">
      <c r="A24" s="249" t="s">
        <v>27</v>
      </c>
      <c r="B24" s="250">
        <v>90</v>
      </c>
      <c r="C24" s="251">
        <f t="shared" si="0"/>
        <v>1862500</v>
      </c>
      <c r="D24" s="252">
        <f t="shared" si="1"/>
        <v>12500</v>
      </c>
      <c r="E24" s="253">
        <f t="shared" si="2"/>
        <v>32593.750000000004</v>
      </c>
      <c r="F24" s="253">
        <f>SUM(D21:D24)</f>
        <v>50000</v>
      </c>
      <c r="G24" s="253">
        <v>159688</v>
      </c>
    </row>
    <row r="25" spans="1:7" s="17" customFormat="1" ht="15">
      <c r="A25" s="266" t="s">
        <v>28</v>
      </c>
      <c r="B25" s="267">
        <v>90</v>
      </c>
      <c r="C25" s="268">
        <f t="shared" si="0"/>
        <v>1850000</v>
      </c>
      <c r="D25" s="242">
        <f t="shared" si="1"/>
        <v>12500</v>
      </c>
      <c r="E25" s="243">
        <f t="shared" si="2"/>
        <v>32375.000000000004</v>
      </c>
      <c r="F25" s="269"/>
      <c r="G25" s="269"/>
    </row>
    <row r="26" spans="1:8" s="17" customFormat="1" ht="15">
      <c r="A26" s="254" t="s">
        <v>29</v>
      </c>
      <c r="B26" s="255">
        <v>90</v>
      </c>
      <c r="C26" s="270">
        <f t="shared" si="0"/>
        <v>1837500</v>
      </c>
      <c r="D26" s="247"/>
      <c r="E26" s="248">
        <f t="shared" si="2"/>
        <v>32156.250000000004</v>
      </c>
      <c r="F26" s="256"/>
      <c r="G26" s="256"/>
      <c r="H26" s="18">
        <f>SUM(D25:D28)</f>
        <v>25000</v>
      </c>
    </row>
    <row r="27" spans="1:7" s="17" customFormat="1" ht="15">
      <c r="A27" s="254" t="s">
        <v>30</v>
      </c>
      <c r="B27" s="255">
        <v>90</v>
      </c>
      <c r="C27" s="270">
        <f t="shared" si="0"/>
        <v>1837500</v>
      </c>
      <c r="D27" s="247">
        <v>12500</v>
      </c>
      <c r="E27" s="248">
        <f t="shared" si="2"/>
        <v>32156.250000000004</v>
      </c>
      <c r="F27" s="256"/>
      <c r="G27" s="256"/>
    </row>
    <row r="28" spans="1:7" s="17" customFormat="1" ht="15.75" thickBot="1">
      <c r="A28" s="257" t="s">
        <v>31</v>
      </c>
      <c r="B28" s="258">
        <v>90</v>
      </c>
      <c r="C28" s="271">
        <f t="shared" si="0"/>
        <v>1825000</v>
      </c>
      <c r="D28" s="252"/>
      <c r="E28" s="253">
        <f t="shared" si="2"/>
        <v>31937.500000000004</v>
      </c>
      <c r="F28" s="259">
        <f>SUM(D25:D28)</f>
        <v>25000</v>
      </c>
      <c r="G28" s="259">
        <f>SUM(E25:E28)</f>
        <v>128625.00000000001</v>
      </c>
    </row>
    <row r="29" spans="1:8" ht="15">
      <c r="A29" s="239" t="s">
        <v>32</v>
      </c>
      <c r="B29" s="240">
        <v>90</v>
      </c>
      <c r="C29" s="241">
        <f t="shared" si="0"/>
        <v>1825000</v>
      </c>
      <c r="D29" s="242">
        <v>12500</v>
      </c>
      <c r="E29" s="243">
        <f t="shared" si="2"/>
        <v>31937.500000000004</v>
      </c>
      <c r="F29" s="243"/>
      <c r="G29" s="243"/>
      <c r="H29" s="237">
        <f>C29/12</f>
        <v>152083.33333333334</v>
      </c>
    </row>
    <row r="30" spans="1:8" ht="15">
      <c r="A30" s="244" t="s">
        <v>33</v>
      </c>
      <c r="B30" s="245">
        <v>90</v>
      </c>
      <c r="C30" s="246">
        <f t="shared" si="0"/>
        <v>1812500</v>
      </c>
      <c r="D30" s="247">
        <v>12500</v>
      </c>
      <c r="E30" s="248">
        <f t="shared" si="2"/>
        <v>31718.750000000004</v>
      </c>
      <c r="F30" s="248"/>
      <c r="G30" s="248"/>
      <c r="H30" s="14">
        <f>SUM(D29:D32)</f>
        <v>50528</v>
      </c>
    </row>
    <row r="31" spans="1:7" ht="15">
      <c r="A31" s="244" t="s">
        <v>34</v>
      </c>
      <c r="B31" s="245">
        <v>90</v>
      </c>
      <c r="C31" s="246">
        <f t="shared" si="0"/>
        <v>1800000</v>
      </c>
      <c r="D31" s="247">
        <v>13028</v>
      </c>
      <c r="E31" s="248">
        <f t="shared" si="2"/>
        <v>31500.000000000004</v>
      </c>
      <c r="F31" s="248"/>
      <c r="G31" s="248"/>
    </row>
    <row r="32" spans="1:7" ht="15.75" thickBot="1">
      <c r="A32" s="249" t="s">
        <v>35</v>
      </c>
      <c r="B32" s="250">
        <v>90</v>
      </c>
      <c r="C32" s="251">
        <f t="shared" si="0"/>
        <v>1786972</v>
      </c>
      <c r="D32" s="252">
        <v>12500</v>
      </c>
      <c r="E32" s="253">
        <f t="shared" si="2"/>
        <v>31272.010000000006</v>
      </c>
      <c r="F32" s="253">
        <f>SUM(D29:D32)</f>
        <v>50528</v>
      </c>
      <c r="G32" s="253">
        <f>SUM(E29:E32)</f>
        <v>126428.26000000002</v>
      </c>
    </row>
    <row r="33" spans="1:7" s="17" customFormat="1" ht="15">
      <c r="A33" s="266" t="s">
        <v>36</v>
      </c>
      <c r="B33" s="267">
        <v>90</v>
      </c>
      <c r="C33" s="268">
        <f t="shared" si="0"/>
        <v>1774472</v>
      </c>
      <c r="D33" s="272">
        <v>150000</v>
      </c>
      <c r="E33" s="269">
        <f t="shared" si="2"/>
        <v>31053.260000000006</v>
      </c>
      <c r="F33" s="269"/>
      <c r="G33" s="269"/>
    </row>
    <row r="34" spans="1:8" s="17" customFormat="1" ht="15">
      <c r="A34" s="254" t="s">
        <v>37</v>
      </c>
      <c r="B34" s="255">
        <v>90</v>
      </c>
      <c r="C34" s="270">
        <f t="shared" si="0"/>
        <v>1624472</v>
      </c>
      <c r="D34" s="273">
        <f>D33</f>
        <v>150000</v>
      </c>
      <c r="E34" s="256">
        <f t="shared" si="2"/>
        <v>28428.260000000006</v>
      </c>
      <c r="F34" s="256"/>
      <c r="G34" s="256"/>
      <c r="H34" s="18">
        <f>SUM(D33:D36)</f>
        <v>750523</v>
      </c>
    </row>
    <row r="35" spans="1:7" s="17" customFormat="1" ht="15">
      <c r="A35" s="254" t="s">
        <v>38</v>
      </c>
      <c r="B35" s="255">
        <v>90</v>
      </c>
      <c r="C35" s="270">
        <f t="shared" si="0"/>
        <v>1474472</v>
      </c>
      <c r="D35" s="273">
        <v>225000</v>
      </c>
      <c r="E35" s="256">
        <f t="shared" si="2"/>
        <v>25803.260000000006</v>
      </c>
      <c r="F35" s="256"/>
      <c r="G35" s="256"/>
    </row>
    <row r="36" spans="1:7" s="17" customFormat="1" ht="15.75" thickBot="1">
      <c r="A36" s="260" t="s">
        <v>39</v>
      </c>
      <c r="B36" s="261">
        <v>90</v>
      </c>
      <c r="C36" s="275">
        <f t="shared" si="0"/>
        <v>1249472</v>
      </c>
      <c r="D36" s="276">
        <v>225523</v>
      </c>
      <c r="E36" s="265">
        <f t="shared" si="2"/>
        <v>21865.760000000002</v>
      </c>
      <c r="F36" s="265">
        <f>SUM(D33:D36)</f>
        <v>750523</v>
      </c>
      <c r="G36" s="265">
        <f>SUM(E33:E36)</f>
        <v>107150.54000000001</v>
      </c>
    </row>
    <row r="37" spans="1:7" ht="15">
      <c r="A37" s="239" t="s">
        <v>40</v>
      </c>
      <c r="B37" s="240">
        <v>90</v>
      </c>
      <c r="C37" s="241">
        <f t="shared" si="0"/>
        <v>1023949</v>
      </c>
      <c r="D37" s="272">
        <v>150000</v>
      </c>
      <c r="E37" s="243">
        <f>B37*C37*0.07/360</f>
        <v>17919.107500000002</v>
      </c>
      <c r="F37" s="243"/>
      <c r="G37" s="243"/>
    </row>
    <row r="38" spans="1:8" ht="15">
      <c r="A38" s="244" t="s">
        <v>41</v>
      </c>
      <c r="B38" s="245">
        <v>90</v>
      </c>
      <c r="C38" s="246">
        <f t="shared" si="0"/>
        <v>873949</v>
      </c>
      <c r="D38" s="273">
        <v>150000</v>
      </c>
      <c r="E38" s="248">
        <f t="shared" si="2"/>
        <v>15294.1075</v>
      </c>
      <c r="F38" s="248"/>
      <c r="G38" s="248"/>
      <c r="H38" s="14">
        <f>SUM(D37:D40)</f>
        <v>600000</v>
      </c>
    </row>
    <row r="39" spans="1:7" ht="15">
      <c r="A39" s="244" t="s">
        <v>42</v>
      </c>
      <c r="B39" s="245">
        <v>90</v>
      </c>
      <c r="C39" s="246">
        <f t="shared" si="0"/>
        <v>723949</v>
      </c>
      <c r="D39" s="273">
        <v>150000</v>
      </c>
      <c r="E39" s="248">
        <f t="shared" si="2"/>
        <v>12669.1075</v>
      </c>
      <c r="F39" s="248"/>
      <c r="G39" s="248"/>
    </row>
    <row r="40" spans="1:7" ht="15.75" thickBot="1">
      <c r="A40" s="249" t="s">
        <v>43</v>
      </c>
      <c r="B40" s="250">
        <v>90</v>
      </c>
      <c r="C40" s="251">
        <f>C39-D39</f>
        <v>573949</v>
      </c>
      <c r="D40" s="274">
        <f>D39</f>
        <v>150000</v>
      </c>
      <c r="E40" s="253">
        <f t="shared" si="2"/>
        <v>10044.1075</v>
      </c>
      <c r="F40" s="253">
        <f>SUM(D37:D40)</f>
        <v>600000</v>
      </c>
      <c r="G40" s="253">
        <f>SUM(E37:E40)</f>
        <v>55926.43</v>
      </c>
    </row>
    <row r="41" spans="1:7" ht="15">
      <c r="A41" s="239" t="s">
        <v>44</v>
      </c>
      <c r="B41" s="240">
        <v>90</v>
      </c>
      <c r="C41" s="241">
        <f>C40-D40</f>
        <v>423949</v>
      </c>
      <c r="D41" s="272">
        <v>100000</v>
      </c>
      <c r="E41" s="243">
        <f>B41*C41*0.07/360</f>
        <v>7419.1075</v>
      </c>
      <c r="F41" s="243"/>
      <c r="G41" s="243"/>
    </row>
    <row r="42" spans="1:8" ht="15">
      <c r="A42" s="244" t="s">
        <v>45</v>
      </c>
      <c r="B42" s="245">
        <v>90</v>
      </c>
      <c r="C42" s="246">
        <f>C41-D41</f>
        <v>323949</v>
      </c>
      <c r="D42" s="273">
        <v>100000</v>
      </c>
      <c r="E42" s="248">
        <f>B42*C42*0.07/360</f>
        <v>5669.1075</v>
      </c>
      <c r="F42" s="248"/>
      <c r="G42" s="248"/>
      <c r="H42" s="14">
        <f>SUM(D41:D44)</f>
        <v>423949</v>
      </c>
    </row>
    <row r="43" spans="1:7" ht="15">
      <c r="A43" s="244" t="s">
        <v>46</v>
      </c>
      <c r="B43" s="245">
        <v>90</v>
      </c>
      <c r="C43" s="246">
        <f>C42-D42</f>
        <v>223949</v>
      </c>
      <c r="D43" s="273">
        <v>123949</v>
      </c>
      <c r="E43" s="248">
        <f>B43*C43*0.07/360</f>
        <v>3919.1075000000005</v>
      </c>
      <c r="F43" s="248"/>
      <c r="G43" s="248"/>
    </row>
    <row r="44" spans="1:7" ht="15.75" thickBot="1">
      <c r="A44" s="249" t="s">
        <v>47</v>
      </c>
      <c r="B44" s="250">
        <v>90</v>
      </c>
      <c r="C44" s="251">
        <f>C43-D43</f>
        <v>100000</v>
      </c>
      <c r="D44" s="274">
        <v>100000</v>
      </c>
      <c r="E44" s="253">
        <f>B44*C44*0.07/360</f>
        <v>1750.0000000000002</v>
      </c>
      <c r="F44" s="253">
        <f>SUM(D41:D44)</f>
        <v>423949</v>
      </c>
      <c r="G44" s="253">
        <f>SUM(E41:E44)</f>
        <v>18757.322500000002</v>
      </c>
    </row>
    <row r="45" spans="4:6" ht="12.75">
      <c r="D45" s="14">
        <f>SUM(D5:D44)</f>
        <v>2100000</v>
      </c>
      <c r="F45" s="14">
        <f>SUM(F8+F12+F16+F20+F24++F28+F32+F36+F40+F44)</f>
        <v>2100000</v>
      </c>
    </row>
    <row r="46" spans="6:8" ht="12.75">
      <c r="F46" s="14">
        <f>F45-C3</f>
        <v>0</v>
      </c>
      <c r="H46" s="14">
        <f>SUM(H42,H38,H34,H30,H26,H22,H14,H10,H6,H18)</f>
        <v>2100000</v>
      </c>
    </row>
  </sheetData>
  <sheetProtection/>
  <mergeCells count="1">
    <mergeCell ref="A1:G1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52"/>
  <sheetViews>
    <sheetView zoomScale="90" zoomScaleNormal="90" zoomScalePageLayoutView="0" workbookViewId="0" topLeftCell="A17">
      <selection activeCell="H50" sqref="H50"/>
    </sheetView>
  </sheetViews>
  <sheetFormatPr defaultColWidth="9.140625" defaultRowHeight="12.75"/>
  <cols>
    <col min="1" max="1" width="15.140625" style="0" customWidth="1"/>
    <col min="2" max="2" width="6.57421875" style="1" customWidth="1"/>
    <col min="3" max="3" width="15.8515625" style="0" customWidth="1"/>
    <col min="4" max="4" width="11.28125" style="0" customWidth="1"/>
    <col min="5" max="5" width="12.28125" style="2" customWidth="1"/>
    <col min="6" max="6" width="10.7109375" style="0" customWidth="1"/>
    <col min="7" max="7" width="10.8515625" style="0" customWidth="1"/>
    <col min="8" max="8" width="11.00390625" style="0" customWidth="1"/>
    <col min="9" max="9" width="10.28125" style="0" customWidth="1"/>
    <col min="10" max="10" width="11.00390625" style="0" bestFit="1" customWidth="1"/>
    <col min="11" max="11" width="11.421875" style="0" customWidth="1"/>
    <col min="13" max="13" width="11.00390625" style="0" bestFit="1" customWidth="1"/>
  </cols>
  <sheetData>
    <row r="1" spans="1:11" ht="26.25" customHeight="1">
      <c r="A1" s="534" t="s">
        <v>222</v>
      </c>
      <c r="B1" s="534"/>
      <c r="C1" s="534"/>
      <c r="D1" s="534"/>
      <c r="E1" s="534"/>
      <c r="F1" s="534"/>
      <c r="G1" s="541"/>
      <c r="H1" s="537" t="s">
        <v>227</v>
      </c>
      <c r="I1" s="539" t="s">
        <v>226</v>
      </c>
      <c r="J1" s="535" t="s">
        <v>224</v>
      </c>
      <c r="K1" s="536"/>
    </row>
    <row r="2" spans="1:11" ht="24" customHeight="1" thickBot="1">
      <c r="A2" s="542"/>
      <c r="B2" s="542"/>
      <c r="C2" s="542"/>
      <c r="D2" s="542"/>
      <c r="E2" s="542"/>
      <c r="F2" s="542"/>
      <c r="G2" s="543"/>
      <c r="H2" s="538"/>
      <c r="I2" s="540"/>
      <c r="J2" s="315" t="s">
        <v>228</v>
      </c>
      <c r="K2" s="316" t="s">
        <v>3</v>
      </c>
    </row>
    <row r="3" spans="1:11" ht="21.75" customHeight="1" thickBot="1">
      <c r="A3" s="3" t="s">
        <v>0</v>
      </c>
      <c r="B3" s="4"/>
      <c r="C3" s="5" t="s">
        <v>1</v>
      </c>
      <c r="D3" s="6" t="s">
        <v>2</v>
      </c>
      <c r="E3" s="7" t="s">
        <v>3</v>
      </c>
      <c r="F3" s="6" t="s">
        <v>4</v>
      </c>
      <c r="G3" s="277" t="s">
        <v>5</v>
      </c>
      <c r="H3" s="287"/>
      <c r="I3" s="287"/>
      <c r="J3" s="317"/>
      <c r="K3" s="317"/>
    </row>
    <row r="4" spans="1:11" ht="15">
      <c r="A4" s="9" t="s">
        <v>6</v>
      </c>
      <c r="B4" s="10">
        <v>90</v>
      </c>
      <c r="C4" s="11">
        <v>11500000</v>
      </c>
      <c r="D4" s="12"/>
      <c r="E4" s="13">
        <v>0</v>
      </c>
      <c r="F4" s="13">
        <v>0</v>
      </c>
      <c r="G4" s="278"/>
      <c r="H4" s="288">
        <v>2000000</v>
      </c>
      <c r="I4" s="288">
        <v>1265000</v>
      </c>
      <c r="J4" s="307">
        <f>H4+F4</f>
        <v>2000000</v>
      </c>
      <c r="K4" s="307">
        <f>I4</f>
        <v>1265000</v>
      </c>
    </row>
    <row r="5" spans="1:11" ht="0.75" customHeight="1" thickBot="1">
      <c r="A5" s="27" t="s">
        <v>7</v>
      </c>
      <c r="B5" s="15">
        <v>90</v>
      </c>
      <c r="C5" s="28">
        <f>C4</f>
        <v>11500000</v>
      </c>
      <c r="D5" s="12"/>
      <c r="E5" s="238">
        <f>B5*C5*5.5%/360</f>
        <v>158125</v>
      </c>
      <c r="F5" s="238">
        <v>0</v>
      </c>
      <c r="G5" s="279">
        <f>E4+E5</f>
        <v>158125</v>
      </c>
      <c r="H5" s="287"/>
      <c r="I5" s="287"/>
      <c r="J5" s="317"/>
      <c r="K5" s="317"/>
    </row>
    <row r="6" spans="1:11" s="2" customFormat="1" ht="15">
      <c r="A6" s="239" t="s">
        <v>8</v>
      </c>
      <c r="B6" s="240">
        <v>90</v>
      </c>
      <c r="C6" s="241">
        <v>18400000</v>
      </c>
      <c r="D6" s="242"/>
      <c r="E6" s="243">
        <f>B6*C6*0.07/360</f>
        <v>322000.00000000006</v>
      </c>
      <c r="F6" s="243"/>
      <c r="G6" s="280"/>
      <c r="H6" s="289"/>
      <c r="I6" s="289"/>
      <c r="J6" s="318"/>
      <c r="K6" s="318"/>
    </row>
    <row r="7" spans="1:11" ht="15">
      <c r="A7" s="244" t="s">
        <v>9</v>
      </c>
      <c r="B7" s="245">
        <v>90</v>
      </c>
      <c r="C7" s="246">
        <f aca="true" t="shared" si="0" ref="C7:C40">C6-D6</f>
        <v>18400000</v>
      </c>
      <c r="D7" s="247"/>
      <c r="E7" s="248">
        <f>B7*C7*0.07/360</f>
        <v>322000.00000000006</v>
      </c>
      <c r="F7" s="248"/>
      <c r="G7" s="281"/>
      <c r="H7" s="288">
        <f>SUM(D6:D9)</f>
        <v>0</v>
      </c>
      <c r="I7" s="287"/>
      <c r="J7" s="317"/>
      <c r="K7" s="317"/>
    </row>
    <row r="8" spans="1:11" ht="15">
      <c r="A8" s="244" t="s">
        <v>10</v>
      </c>
      <c r="B8" s="245">
        <v>90</v>
      </c>
      <c r="C8" s="246">
        <f t="shared" si="0"/>
        <v>18400000</v>
      </c>
      <c r="D8" s="247"/>
      <c r="E8" s="248">
        <f aca="true" t="shared" si="1" ref="E8:E41">B8*C8*0.07/360</f>
        <v>322000.00000000006</v>
      </c>
      <c r="F8" s="248"/>
      <c r="G8" s="281"/>
      <c r="H8" s="287"/>
      <c r="I8" s="287"/>
      <c r="J8" s="317"/>
      <c r="K8" s="317"/>
    </row>
    <row r="9" spans="1:11" ht="15.75" thickBot="1">
      <c r="A9" s="249" t="s">
        <v>11</v>
      </c>
      <c r="B9" s="250">
        <v>90</v>
      </c>
      <c r="C9" s="251">
        <f t="shared" si="0"/>
        <v>18400000</v>
      </c>
      <c r="D9" s="252"/>
      <c r="E9" s="253">
        <f t="shared" si="1"/>
        <v>322000.00000000006</v>
      </c>
      <c r="F9" s="253">
        <f>D7+D8+D9+D6</f>
        <v>0</v>
      </c>
      <c r="G9" s="282">
        <f>SUM(E6:E9)</f>
        <v>1288000.0000000002</v>
      </c>
      <c r="H9" s="288">
        <v>3000000</v>
      </c>
      <c r="I9" s="288">
        <v>1155000</v>
      </c>
      <c r="J9" s="307">
        <f>H9+F9</f>
        <v>3000000</v>
      </c>
      <c r="K9" s="307">
        <f>I9+G9</f>
        <v>2443000</v>
      </c>
    </row>
    <row r="10" spans="1:11" ht="15">
      <c r="A10" s="239" t="s">
        <v>12</v>
      </c>
      <c r="B10" s="240">
        <v>90</v>
      </c>
      <c r="C10" s="241">
        <f t="shared" si="0"/>
        <v>18400000</v>
      </c>
      <c r="D10" s="242"/>
      <c r="E10" s="243">
        <f t="shared" si="1"/>
        <v>322000.00000000006</v>
      </c>
      <c r="F10" s="243"/>
      <c r="G10" s="280"/>
      <c r="H10" s="287"/>
      <c r="I10" s="287"/>
      <c r="J10" s="307">
        <f aca="true" t="shared" si="2" ref="J10:J45">H10+F10</f>
        <v>0</v>
      </c>
      <c r="K10" s="307">
        <f aca="true" t="shared" si="3" ref="K10:K45">I10+G10</f>
        <v>0</v>
      </c>
    </row>
    <row r="11" spans="1:11" ht="15">
      <c r="A11" s="244" t="s">
        <v>13</v>
      </c>
      <c r="B11" s="245">
        <v>90</v>
      </c>
      <c r="C11" s="246">
        <f t="shared" si="0"/>
        <v>18400000</v>
      </c>
      <c r="D11" s="247"/>
      <c r="E11" s="248">
        <f t="shared" si="1"/>
        <v>322000.00000000006</v>
      </c>
      <c r="F11" s="248"/>
      <c r="G11" s="281"/>
      <c r="H11" s="288"/>
      <c r="I11" s="287"/>
      <c r="J11" s="307">
        <f t="shared" si="2"/>
        <v>0</v>
      </c>
      <c r="K11" s="307">
        <f t="shared" si="3"/>
        <v>0</v>
      </c>
    </row>
    <row r="12" spans="1:11" ht="15">
      <c r="A12" s="244" t="s">
        <v>14</v>
      </c>
      <c r="B12" s="245">
        <v>90</v>
      </c>
      <c r="C12" s="246">
        <f t="shared" si="0"/>
        <v>18400000</v>
      </c>
      <c r="D12" s="247"/>
      <c r="E12" s="248">
        <f t="shared" si="1"/>
        <v>322000.00000000006</v>
      </c>
      <c r="F12" s="248"/>
      <c r="G12" s="281"/>
      <c r="H12" s="287"/>
      <c r="I12" s="287"/>
      <c r="J12" s="307">
        <f t="shared" si="2"/>
        <v>0</v>
      </c>
      <c r="K12" s="307">
        <f t="shared" si="3"/>
        <v>0</v>
      </c>
    </row>
    <row r="13" spans="1:11" ht="15.75" thickBot="1">
      <c r="A13" s="249" t="s">
        <v>15</v>
      </c>
      <c r="B13" s="250">
        <v>90</v>
      </c>
      <c r="C13" s="251">
        <f t="shared" si="0"/>
        <v>18400000</v>
      </c>
      <c r="D13" s="252"/>
      <c r="E13" s="253">
        <f t="shared" si="1"/>
        <v>322000.00000000006</v>
      </c>
      <c r="F13" s="253">
        <f>SUM(D10:D13)</f>
        <v>0</v>
      </c>
      <c r="G13" s="282">
        <f>SUM(E10:E13)</f>
        <v>1288000.0000000002</v>
      </c>
      <c r="H13" s="288">
        <v>3000000</v>
      </c>
      <c r="I13" s="288">
        <v>990000</v>
      </c>
      <c r="J13" s="307">
        <f>H13+F13</f>
        <v>3000000</v>
      </c>
      <c r="K13" s="307">
        <f t="shared" si="3"/>
        <v>2278000</v>
      </c>
    </row>
    <row r="14" spans="1:11" ht="15">
      <c r="A14" s="239" t="s">
        <v>16</v>
      </c>
      <c r="B14" s="240">
        <v>90</v>
      </c>
      <c r="C14" s="241">
        <f t="shared" si="0"/>
        <v>18400000</v>
      </c>
      <c r="D14" s="242"/>
      <c r="E14" s="243">
        <f t="shared" si="1"/>
        <v>322000.00000000006</v>
      </c>
      <c r="F14" s="243"/>
      <c r="G14" s="280"/>
      <c r="H14" s="287"/>
      <c r="I14" s="288"/>
      <c r="J14" s="307">
        <f t="shared" si="2"/>
        <v>0</v>
      </c>
      <c r="K14" s="307">
        <f t="shared" si="3"/>
        <v>0</v>
      </c>
    </row>
    <row r="15" spans="1:11" ht="15">
      <c r="A15" s="244" t="s">
        <v>17</v>
      </c>
      <c r="B15" s="245">
        <v>90</v>
      </c>
      <c r="C15" s="246">
        <f t="shared" si="0"/>
        <v>18400000</v>
      </c>
      <c r="D15" s="247"/>
      <c r="E15" s="248">
        <f t="shared" si="1"/>
        <v>322000.00000000006</v>
      </c>
      <c r="F15" s="248"/>
      <c r="G15" s="281"/>
      <c r="H15" s="288"/>
      <c r="I15" s="287"/>
      <c r="J15" s="307">
        <f t="shared" si="2"/>
        <v>0</v>
      </c>
      <c r="K15" s="307">
        <f t="shared" si="3"/>
        <v>0</v>
      </c>
    </row>
    <row r="16" spans="1:11" ht="15">
      <c r="A16" s="244" t="s">
        <v>18</v>
      </c>
      <c r="B16" s="245">
        <v>90</v>
      </c>
      <c r="C16" s="246">
        <f t="shared" si="0"/>
        <v>18400000</v>
      </c>
      <c r="D16" s="247"/>
      <c r="E16" s="248">
        <f t="shared" si="1"/>
        <v>322000.00000000006</v>
      </c>
      <c r="F16" s="248"/>
      <c r="G16" s="281"/>
      <c r="H16" s="287"/>
      <c r="I16" s="287"/>
      <c r="J16" s="307">
        <f t="shared" si="2"/>
        <v>0</v>
      </c>
      <c r="K16" s="307">
        <f t="shared" si="3"/>
        <v>0</v>
      </c>
    </row>
    <row r="17" spans="1:11" ht="15.75" thickBot="1">
      <c r="A17" s="249" t="s">
        <v>19</v>
      </c>
      <c r="B17" s="250">
        <v>90</v>
      </c>
      <c r="C17" s="251">
        <f t="shared" si="0"/>
        <v>18400000</v>
      </c>
      <c r="D17" s="252"/>
      <c r="E17" s="253">
        <f t="shared" si="1"/>
        <v>322000.00000000006</v>
      </c>
      <c r="F17" s="253">
        <f>SUM(D14:D17)</f>
        <v>0</v>
      </c>
      <c r="G17" s="282">
        <f>SUM(E14:E17)</f>
        <v>1288000.0000000002</v>
      </c>
      <c r="H17" s="288">
        <v>3000000</v>
      </c>
      <c r="I17" s="288">
        <v>825000</v>
      </c>
      <c r="J17" s="307">
        <f t="shared" si="2"/>
        <v>3000000</v>
      </c>
      <c r="K17" s="307">
        <f t="shared" si="3"/>
        <v>2113000</v>
      </c>
    </row>
    <row r="18" spans="1:30" ht="15">
      <c r="A18" s="239" t="s">
        <v>20</v>
      </c>
      <c r="B18" s="240">
        <v>90</v>
      </c>
      <c r="C18" s="241">
        <f t="shared" si="0"/>
        <v>18400000</v>
      </c>
      <c r="D18" s="242"/>
      <c r="E18" s="243">
        <f t="shared" si="1"/>
        <v>322000.00000000006</v>
      </c>
      <c r="F18" s="243"/>
      <c r="G18" s="280"/>
      <c r="H18" s="287"/>
      <c r="I18" s="287"/>
      <c r="J18" s="307">
        <f t="shared" si="2"/>
        <v>0</v>
      </c>
      <c r="K18" s="307">
        <f t="shared" si="3"/>
        <v>0</v>
      </c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</row>
    <row r="19" spans="1:30" ht="15">
      <c r="A19" s="244" t="s">
        <v>21</v>
      </c>
      <c r="B19" s="245">
        <v>90</v>
      </c>
      <c r="C19" s="246">
        <f t="shared" si="0"/>
        <v>18400000</v>
      </c>
      <c r="D19" s="247"/>
      <c r="E19" s="248">
        <f t="shared" si="1"/>
        <v>322000.00000000006</v>
      </c>
      <c r="F19" s="248"/>
      <c r="G19" s="281"/>
      <c r="H19" s="288"/>
      <c r="I19" s="287"/>
      <c r="J19" s="307">
        <f t="shared" si="2"/>
        <v>0</v>
      </c>
      <c r="K19" s="307">
        <f t="shared" si="3"/>
        <v>0</v>
      </c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</row>
    <row r="20" spans="1:30" s="17" customFormat="1" ht="15">
      <c r="A20" s="254" t="s">
        <v>22</v>
      </c>
      <c r="B20" s="255">
        <v>90</v>
      </c>
      <c r="C20" s="246">
        <f t="shared" si="0"/>
        <v>18400000</v>
      </c>
      <c r="D20" s="247"/>
      <c r="E20" s="248">
        <f t="shared" si="1"/>
        <v>322000.00000000006</v>
      </c>
      <c r="F20" s="256"/>
      <c r="G20" s="283"/>
      <c r="H20" s="290"/>
      <c r="I20" s="291"/>
      <c r="J20" s="307">
        <f t="shared" si="2"/>
        <v>0</v>
      </c>
      <c r="K20" s="307">
        <f t="shared" si="3"/>
        <v>0</v>
      </c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</row>
    <row r="21" spans="1:30" s="17" customFormat="1" ht="15.75" thickBot="1">
      <c r="A21" s="257" t="s">
        <v>23</v>
      </c>
      <c r="B21" s="258">
        <v>90</v>
      </c>
      <c r="C21" s="251">
        <f t="shared" si="0"/>
        <v>18400000</v>
      </c>
      <c r="D21" s="252"/>
      <c r="E21" s="253">
        <f t="shared" si="1"/>
        <v>322000.00000000006</v>
      </c>
      <c r="F21" s="259">
        <f>SUM(D18:D21)</f>
        <v>0</v>
      </c>
      <c r="G21" s="284">
        <f>SUM(E18:E21)</f>
        <v>1288000.0000000002</v>
      </c>
      <c r="H21" s="288">
        <v>3000000</v>
      </c>
      <c r="I21" s="292">
        <v>660000</v>
      </c>
      <c r="J21" s="307">
        <f t="shared" si="2"/>
        <v>3000000</v>
      </c>
      <c r="K21" s="307">
        <f t="shared" si="3"/>
        <v>1948000.0000000002</v>
      </c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</row>
    <row r="22" spans="1:30" ht="15">
      <c r="A22" s="239" t="s">
        <v>24</v>
      </c>
      <c r="B22" s="240">
        <v>90</v>
      </c>
      <c r="C22" s="241">
        <f t="shared" si="0"/>
        <v>18400000</v>
      </c>
      <c r="D22" s="242"/>
      <c r="E22" s="243">
        <f t="shared" si="1"/>
        <v>322000.00000000006</v>
      </c>
      <c r="F22" s="243"/>
      <c r="G22" s="280"/>
      <c r="H22" s="287"/>
      <c r="I22" s="287"/>
      <c r="J22" s="307">
        <f t="shared" si="2"/>
        <v>0</v>
      </c>
      <c r="K22" s="307">
        <f t="shared" si="3"/>
        <v>0</v>
      </c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</row>
    <row r="23" spans="1:30" ht="15">
      <c r="A23" s="244" t="s">
        <v>25</v>
      </c>
      <c r="B23" s="245">
        <v>90</v>
      </c>
      <c r="C23" s="246">
        <f t="shared" si="0"/>
        <v>18400000</v>
      </c>
      <c r="D23" s="247"/>
      <c r="E23" s="248">
        <f t="shared" si="1"/>
        <v>322000.00000000006</v>
      </c>
      <c r="F23" s="248"/>
      <c r="G23" s="281"/>
      <c r="H23" s="288"/>
      <c r="I23" s="287"/>
      <c r="J23" s="307">
        <f t="shared" si="2"/>
        <v>0</v>
      </c>
      <c r="K23" s="307">
        <f t="shared" si="3"/>
        <v>0</v>
      </c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</row>
    <row r="24" spans="1:30" ht="15">
      <c r="A24" s="244" t="s">
        <v>26</v>
      </c>
      <c r="B24" s="245">
        <v>90</v>
      </c>
      <c r="C24" s="246">
        <f t="shared" si="0"/>
        <v>18400000</v>
      </c>
      <c r="D24" s="247"/>
      <c r="E24" s="248">
        <f t="shared" si="1"/>
        <v>322000.00000000006</v>
      </c>
      <c r="F24" s="248"/>
      <c r="G24" s="281"/>
      <c r="H24" s="287"/>
      <c r="I24" s="287"/>
      <c r="J24" s="307">
        <f t="shared" si="2"/>
        <v>0</v>
      </c>
      <c r="K24" s="307">
        <f t="shared" si="3"/>
        <v>0</v>
      </c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</row>
    <row r="25" spans="1:30" ht="15.75" thickBot="1">
      <c r="A25" s="249" t="s">
        <v>27</v>
      </c>
      <c r="B25" s="250">
        <v>90</v>
      </c>
      <c r="C25" s="251">
        <f t="shared" si="0"/>
        <v>18400000</v>
      </c>
      <c r="D25" s="252"/>
      <c r="E25" s="253">
        <f t="shared" si="1"/>
        <v>322000.00000000006</v>
      </c>
      <c r="F25" s="253">
        <f>SUM(D22:D25)</f>
        <v>0</v>
      </c>
      <c r="G25" s="282">
        <f>SUM(E22:E25)</f>
        <v>1288000.0000000002</v>
      </c>
      <c r="H25" s="288">
        <v>3000000</v>
      </c>
      <c r="I25" s="288">
        <v>495000</v>
      </c>
      <c r="J25" s="307">
        <f t="shared" si="2"/>
        <v>3000000</v>
      </c>
      <c r="K25" s="307">
        <f t="shared" si="3"/>
        <v>1783000.0000000002</v>
      </c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</row>
    <row r="26" spans="1:30" s="17" customFormat="1" ht="15">
      <c r="A26" s="266" t="s">
        <v>28</v>
      </c>
      <c r="B26" s="267">
        <v>90</v>
      </c>
      <c r="C26" s="268">
        <f t="shared" si="0"/>
        <v>18400000</v>
      </c>
      <c r="D26" s="242"/>
      <c r="E26" s="243">
        <f t="shared" si="1"/>
        <v>322000.00000000006</v>
      </c>
      <c r="F26" s="269"/>
      <c r="G26" s="285"/>
      <c r="H26" s="291"/>
      <c r="I26" s="291"/>
      <c r="J26" s="307">
        <f t="shared" si="2"/>
        <v>0</v>
      </c>
      <c r="K26" s="307">
        <f t="shared" si="3"/>
        <v>0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</row>
    <row r="27" spans="1:30" s="17" customFormat="1" ht="15">
      <c r="A27" s="254" t="s">
        <v>29</v>
      </c>
      <c r="B27" s="255">
        <v>90</v>
      </c>
      <c r="C27" s="270">
        <f t="shared" si="0"/>
        <v>18400000</v>
      </c>
      <c r="D27" s="247"/>
      <c r="E27" s="248">
        <f t="shared" si="1"/>
        <v>322000.00000000006</v>
      </c>
      <c r="F27" s="256"/>
      <c r="G27" s="283"/>
      <c r="H27" s="292"/>
      <c r="I27" s="291"/>
      <c r="J27" s="307">
        <f t="shared" si="2"/>
        <v>0</v>
      </c>
      <c r="K27" s="307">
        <f t="shared" si="3"/>
        <v>0</v>
      </c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</row>
    <row r="28" spans="1:30" s="17" customFormat="1" ht="15">
      <c r="A28" s="254" t="s">
        <v>30</v>
      </c>
      <c r="B28" s="255">
        <v>90</v>
      </c>
      <c r="C28" s="270">
        <f t="shared" si="0"/>
        <v>18400000</v>
      </c>
      <c r="D28" s="247"/>
      <c r="E28" s="248">
        <f t="shared" si="1"/>
        <v>322000.00000000006</v>
      </c>
      <c r="F28" s="256"/>
      <c r="G28" s="283"/>
      <c r="H28" s="291"/>
      <c r="I28" s="291"/>
      <c r="J28" s="307">
        <f t="shared" si="2"/>
        <v>0</v>
      </c>
      <c r="K28" s="307">
        <f t="shared" si="3"/>
        <v>0</v>
      </c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</row>
    <row r="29" spans="1:30" s="17" customFormat="1" ht="15.75" thickBot="1">
      <c r="A29" s="260" t="s">
        <v>31</v>
      </c>
      <c r="B29" s="261">
        <v>90</v>
      </c>
      <c r="C29" s="275">
        <f t="shared" si="0"/>
        <v>18400000</v>
      </c>
      <c r="D29" s="263"/>
      <c r="E29" s="264">
        <f t="shared" si="1"/>
        <v>322000.00000000006</v>
      </c>
      <c r="F29" s="265">
        <f>SUM(D26:D29)</f>
        <v>0</v>
      </c>
      <c r="G29" s="286">
        <f>SUM(E26:E29)</f>
        <v>1288000.0000000002</v>
      </c>
      <c r="H29" s="288">
        <v>3000000</v>
      </c>
      <c r="I29" s="292">
        <v>360000</v>
      </c>
      <c r="J29" s="307">
        <f t="shared" si="2"/>
        <v>3000000</v>
      </c>
      <c r="K29" s="307">
        <f t="shared" si="3"/>
        <v>1648000.0000000002</v>
      </c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</row>
    <row r="30" spans="1:30" ht="15">
      <c r="A30" s="239" t="s">
        <v>32</v>
      </c>
      <c r="B30" s="240">
        <v>90</v>
      </c>
      <c r="C30" s="241">
        <f t="shared" si="0"/>
        <v>18400000</v>
      </c>
      <c r="D30" s="242">
        <v>500000</v>
      </c>
      <c r="E30" s="243">
        <f t="shared" si="1"/>
        <v>322000.00000000006</v>
      </c>
      <c r="F30" s="243"/>
      <c r="G30" s="280"/>
      <c r="H30" s="293"/>
      <c r="I30" s="287"/>
      <c r="J30" s="307">
        <f t="shared" si="2"/>
        <v>0</v>
      </c>
      <c r="K30" s="307">
        <f t="shared" si="3"/>
        <v>0</v>
      </c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</row>
    <row r="31" spans="1:30" ht="15">
      <c r="A31" s="244" t="s">
        <v>33</v>
      </c>
      <c r="B31" s="245">
        <v>90</v>
      </c>
      <c r="C31" s="246">
        <f t="shared" si="0"/>
        <v>17900000</v>
      </c>
      <c r="D31" s="247">
        <v>500000</v>
      </c>
      <c r="E31" s="248">
        <f t="shared" si="1"/>
        <v>313250.00000000006</v>
      </c>
      <c r="F31" s="248"/>
      <c r="G31" s="281"/>
      <c r="H31" s="288"/>
      <c r="I31" s="287"/>
      <c r="J31" s="307">
        <f t="shared" si="2"/>
        <v>0</v>
      </c>
      <c r="K31" s="307">
        <f t="shared" si="3"/>
        <v>0</v>
      </c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</row>
    <row r="32" spans="1:30" ht="15">
      <c r="A32" s="244" t="s">
        <v>34</v>
      </c>
      <c r="B32" s="245">
        <v>90</v>
      </c>
      <c r="C32" s="246">
        <f t="shared" si="0"/>
        <v>17400000</v>
      </c>
      <c r="D32" s="247">
        <v>500000</v>
      </c>
      <c r="E32" s="248">
        <f t="shared" si="1"/>
        <v>304500.00000000006</v>
      </c>
      <c r="F32" s="248"/>
      <c r="G32" s="281"/>
      <c r="H32" s="287"/>
      <c r="I32" s="287"/>
      <c r="J32" s="307">
        <f t="shared" si="2"/>
        <v>0</v>
      </c>
      <c r="K32" s="307">
        <f t="shared" si="3"/>
        <v>0</v>
      </c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</row>
    <row r="33" spans="1:30" ht="15.75" thickBot="1">
      <c r="A33" s="249" t="s">
        <v>35</v>
      </c>
      <c r="B33" s="250">
        <v>90</v>
      </c>
      <c r="C33" s="251">
        <f t="shared" si="0"/>
        <v>16900000</v>
      </c>
      <c r="D33" s="252">
        <v>500000</v>
      </c>
      <c r="E33" s="253">
        <f t="shared" si="1"/>
        <v>295750.00000000006</v>
      </c>
      <c r="F33" s="253">
        <f>SUM(D30:D33)</f>
        <v>2000000</v>
      </c>
      <c r="G33" s="282">
        <f>SUM(E30:E33)</f>
        <v>1235500.0000000002</v>
      </c>
      <c r="H33" s="288">
        <v>3000000</v>
      </c>
      <c r="I33" s="288">
        <v>180000</v>
      </c>
      <c r="J33" s="307">
        <f t="shared" si="2"/>
        <v>5000000</v>
      </c>
      <c r="K33" s="307">
        <f t="shared" si="3"/>
        <v>1415500.0000000002</v>
      </c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</row>
    <row r="34" spans="1:30" s="17" customFormat="1" ht="15">
      <c r="A34" s="266" t="s">
        <v>36</v>
      </c>
      <c r="B34" s="267">
        <v>90</v>
      </c>
      <c r="C34" s="268">
        <f t="shared" si="0"/>
        <v>16400000</v>
      </c>
      <c r="D34" s="272">
        <v>1475000</v>
      </c>
      <c r="E34" s="269">
        <f t="shared" si="1"/>
        <v>287000.00000000006</v>
      </c>
      <c r="F34" s="269"/>
      <c r="G34" s="285"/>
      <c r="H34" s="291"/>
      <c r="I34" s="291"/>
      <c r="J34" s="307">
        <f t="shared" si="2"/>
        <v>0</v>
      </c>
      <c r="K34" s="307">
        <f t="shared" si="3"/>
        <v>0</v>
      </c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</row>
    <row r="35" spans="1:30" s="17" customFormat="1" ht="15">
      <c r="A35" s="254" t="s">
        <v>37</v>
      </c>
      <c r="B35" s="255">
        <v>90</v>
      </c>
      <c r="C35" s="270">
        <f t="shared" si="0"/>
        <v>14925000</v>
      </c>
      <c r="D35" s="273">
        <f>D34</f>
        <v>1475000</v>
      </c>
      <c r="E35" s="256">
        <f t="shared" si="1"/>
        <v>261187.50000000003</v>
      </c>
      <c r="F35" s="256"/>
      <c r="G35" s="283"/>
      <c r="H35" s="292"/>
      <c r="I35" s="291"/>
      <c r="J35" s="307">
        <f t="shared" si="2"/>
        <v>0</v>
      </c>
      <c r="K35" s="307">
        <f t="shared" si="3"/>
        <v>0</v>
      </c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</row>
    <row r="36" spans="1:30" s="17" customFormat="1" ht="15">
      <c r="A36" s="254" t="s">
        <v>38</v>
      </c>
      <c r="B36" s="255">
        <v>90</v>
      </c>
      <c r="C36" s="270">
        <f t="shared" si="0"/>
        <v>13450000</v>
      </c>
      <c r="D36" s="273">
        <v>1725000</v>
      </c>
      <c r="E36" s="256">
        <f t="shared" si="1"/>
        <v>235375.00000000003</v>
      </c>
      <c r="F36" s="256"/>
      <c r="G36" s="283"/>
      <c r="H36" s="291"/>
      <c r="I36" s="291"/>
      <c r="J36" s="307">
        <f t="shared" si="2"/>
        <v>0</v>
      </c>
      <c r="K36" s="307">
        <f t="shared" si="3"/>
        <v>0</v>
      </c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</row>
    <row r="37" spans="1:30" s="17" customFormat="1" ht="15.75" thickBot="1">
      <c r="A37" s="257" t="s">
        <v>39</v>
      </c>
      <c r="B37" s="258">
        <v>90</v>
      </c>
      <c r="C37" s="271">
        <f t="shared" si="0"/>
        <v>11725000</v>
      </c>
      <c r="D37" s="274">
        <v>1925000</v>
      </c>
      <c r="E37" s="259">
        <f t="shared" si="1"/>
        <v>205187.5</v>
      </c>
      <c r="F37" s="259">
        <f>SUM(D34:D37)</f>
        <v>6600000</v>
      </c>
      <c r="G37" s="284">
        <f>SUM(E34:E37)</f>
        <v>988750.0000000001</v>
      </c>
      <c r="H37" s="288"/>
      <c r="I37" s="291"/>
      <c r="J37" s="307">
        <f t="shared" si="2"/>
        <v>6600000</v>
      </c>
      <c r="K37" s="307">
        <f t="shared" si="3"/>
        <v>988750.0000000001</v>
      </c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</row>
    <row r="38" spans="1:30" ht="15">
      <c r="A38" s="239" t="s">
        <v>40</v>
      </c>
      <c r="B38" s="240">
        <v>90</v>
      </c>
      <c r="C38" s="241">
        <f t="shared" si="0"/>
        <v>9800000</v>
      </c>
      <c r="D38" s="272">
        <v>1250000</v>
      </c>
      <c r="E38" s="243">
        <f>B38*C38*0.07/360</f>
        <v>171500.00000000003</v>
      </c>
      <c r="F38" s="243"/>
      <c r="G38" s="280"/>
      <c r="H38" s="287"/>
      <c r="I38" s="287"/>
      <c r="J38" s="307">
        <f t="shared" si="2"/>
        <v>0</v>
      </c>
      <c r="K38" s="307">
        <f t="shared" si="3"/>
        <v>0</v>
      </c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</row>
    <row r="39" spans="1:30" ht="15">
      <c r="A39" s="244" t="s">
        <v>41</v>
      </c>
      <c r="B39" s="245">
        <v>90</v>
      </c>
      <c r="C39" s="246">
        <f t="shared" si="0"/>
        <v>8550000</v>
      </c>
      <c r="D39" s="273">
        <f>D38</f>
        <v>1250000</v>
      </c>
      <c r="E39" s="248">
        <f t="shared" si="1"/>
        <v>149625.00000000003</v>
      </c>
      <c r="F39" s="248"/>
      <c r="G39" s="281"/>
      <c r="H39" s="288"/>
      <c r="I39" s="287"/>
      <c r="J39" s="307">
        <f t="shared" si="2"/>
        <v>0</v>
      </c>
      <c r="K39" s="307">
        <f t="shared" si="3"/>
        <v>0</v>
      </c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</row>
    <row r="40" spans="1:30" ht="15">
      <c r="A40" s="244" t="s">
        <v>42</v>
      </c>
      <c r="B40" s="245">
        <v>90</v>
      </c>
      <c r="C40" s="246">
        <f t="shared" si="0"/>
        <v>7300000</v>
      </c>
      <c r="D40" s="273">
        <v>1500000</v>
      </c>
      <c r="E40" s="248">
        <f t="shared" si="1"/>
        <v>127750.00000000001</v>
      </c>
      <c r="F40" s="248"/>
      <c r="G40" s="281"/>
      <c r="H40" s="287"/>
      <c r="I40" s="287"/>
      <c r="J40" s="307">
        <f t="shared" si="2"/>
        <v>0</v>
      </c>
      <c r="K40" s="307">
        <f t="shared" si="3"/>
        <v>0</v>
      </c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</row>
    <row r="41" spans="1:30" ht="15.75" thickBot="1">
      <c r="A41" s="249" t="s">
        <v>43</v>
      </c>
      <c r="B41" s="250">
        <v>90</v>
      </c>
      <c r="C41" s="251">
        <f aca="true" t="shared" si="4" ref="C41:C49">C40-D40</f>
        <v>5800000</v>
      </c>
      <c r="D41" s="274">
        <v>1700000</v>
      </c>
      <c r="E41" s="253">
        <f t="shared" si="1"/>
        <v>101500</v>
      </c>
      <c r="F41" s="253">
        <f>SUM(D38:D41)</f>
        <v>5700000</v>
      </c>
      <c r="G41" s="282">
        <f>SUM(E38:E41)</f>
        <v>550375</v>
      </c>
      <c r="H41" s="288"/>
      <c r="I41" s="287"/>
      <c r="J41" s="307">
        <f t="shared" si="2"/>
        <v>5700000</v>
      </c>
      <c r="K41" s="307">
        <f t="shared" si="3"/>
        <v>550375</v>
      </c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</row>
    <row r="42" spans="1:30" ht="15">
      <c r="A42" s="239" t="s">
        <v>44</v>
      </c>
      <c r="B42" s="240">
        <v>90</v>
      </c>
      <c r="C42" s="241">
        <f t="shared" si="4"/>
        <v>4100000</v>
      </c>
      <c r="D42" s="272">
        <v>1100000</v>
      </c>
      <c r="E42" s="243">
        <f aca="true" t="shared" si="5" ref="E42:E49">B42*C42*0.07/360</f>
        <v>71750.00000000001</v>
      </c>
      <c r="F42" s="243"/>
      <c r="G42" s="280"/>
      <c r="H42" s="287"/>
      <c r="I42" s="287"/>
      <c r="J42" s="307">
        <f t="shared" si="2"/>
        <v>0</v>
      </c>
      <c r="K42" s="307">
        <f t="shared" si="3"/>
        <v>0</v>
      </c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</row>
    <row r="43" spans="1:30" ht="15">
      <c r="A43" s="244" t="s">
        <v>45</v>
      </c>
      <c r="B43" s="245">
        <v>90</v>
      </c>
      <c r="C43" s="246">
        <f t="shared" si="4"/>
        <v>3000000</v>
      </c>
      <c r="D43" s="273">
        <v>1000000</v>
      </c>
      <c r="E43" s="248">
        <f t="shared" si="5"/>
        <v>52500</v>
      </c>
      <c r="F43" s="248"/>
      <c r="G43" s="281"/>
      <c r="H43" s="288"/>
      <c r="I43" s="287"/>
      <c r="J43" s="307">
        <f t="shared" si="2"/>
        <v>0</v>
      </c>
      <c r="K43" s="307">
        <f t="shared" si="3"/>
        <v>0</v>
      </c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</row>
    <row r="44" spans="1:30" ht="15">
      <c r="A44" s="244" t="s">
        <v>46</v>
      </c>
      <c r="B44" s="245">
        <v>90</v>
      </c>
      <c r="C44" s="246">
        <f t="shared" si="4"/>
        <v>2000000</v>
      </c>
      <c r="D44" s="273">
        <v>1000000</v>
      </c>
      <c r="E44" s="248">
        <f t="shared" si="5"/>
        <v>35000.00000000001</v>
      </c>
      <c r="F44" s="248"/>
      <c r="G44" s="281"/>
      <c r="H44" s="287"/>
      <c r="I44" s="287"/>
      <c r="J44" s="307">
        <f t="shared" si="2"/>
        <v>0</v>
      </c>
      <c r="K44" s="307">
        <f t="shared" si="3"/>
        <v>0</v>
      </c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</row>
    <row r="45" spans="1:30" ht="15.75" thickBot="1">
      <c r="A45" s="249" t="s">
        <v>47</v>
      </c>
      <c r="B45" s="250">
        <v>90</v>
      </c>
      <c r="C45" s="251">
        <f t="shared" si="4"/>
        <v>1000000</v>
      </c>
      <c r="D45" s="274">
        <v>1000000</v>
      </c>
      <c r="E45" s="253">
        <f t="shared" si="5"/>
        <v>17500.000000000004</v>
      </c>
      <c r="F45" s="253">
        <f>SUM(D42:D45)</f>
        <v>4100000</v>
      </c>
      <c r="G45" s="282">
        <f>SUM(E42:E45)</f>
        <v>176750.00000000003</v>
      </c>
      <c r="H45" s="287"/>
      <c r="I45" s="287"/>
      <c r="J45" s="307">
        <f t="shared" si="2"/>
        <v>4100000</v>
      </c>
      <c r="K45" s="307">
        <f t="shared" si="3"/>
        <v>176750.00000000003</v>
      </c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</row>
    <row r="46" spans="1:30" ht="15">
      <c r="A46" s="239" t="s">
        <v>44</v>
      </c>
      <c r="B46" s="240">
        <v>90</v>
      </c>
      <c r="C46" s="241">
        <f t="shared" si="4"/>
        <v>0</v>
      </c>
      <c r="D46" s="272"/>
      <c r="E46" s="243">
        <f t="shared" si="5"/>
        <v>0</v>
      </c>
      <c r="F46" s="243"/>
      <c r="G46" s="280"/>
      <c r="H46" s="287"/>
      <c r="I46" s="287"/>
      <c r="J46" s="307">
        <f aca="true" t="shared" si="6" ref="J46:K49">H46+F46</f>
        <v>0</v>
      </c>
      <c r="K46" s="307">
        <f t="shared" si="6"/>
        <v>0</v>
      </c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</row>
    <row r="47" spans="1:30" ht="15">
      <c r="A47" s="244" t="s">
        <v>45</v>
      </c>
      <c r="B47" s="245">
        <v>90</v>
      </c>
      <c r="C47" s="246">
        <f t="shared" si="4"/>
        <v>0</v>
      </c>
      <c r="D47" s="273"/>
      <c r="E47" s="248">
        <f t="shared" si="5"/>
        <v>0</v>
      </c>
      <c r="F47" s="248"/>
      <c r="G47" s="281"/>
      <c r="H47" s="288"/>
      <c r="I47" s="287"/>
      <c r="J47" s="307">
        <f t="shared" si="6"/>
        <v>0</v>
      </c>
      <c r="K47" s="307">
        <f t="shared" si="6"/>
        <v>0</v>
      </c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</row>
    <row r="48" spans="1:30" ht="15">
      <c r="A48" s="244" t="s">
        <v>46</v>
      </c>
      <c r="B48" s="245">
        <v>90</v>
      </c>
      <c r="C48" s="246">
        <f t="shared" si="4"/>
        <v>0</v>
      </c>
      <c r="D48" s="273"/>
      <c r="E48" s="248">
        <f t="shared" si="5"/>
        <v>0</v>
      </c>
      <c r="F48" s="248"/>
      <c r="G48" s="281"/>
      <c r="H48" s="287"/>
      <c r="I48" s="287"/>
      <c r="J48" s="307">
        <f t="shared" si="6"/>
        <v>0</v>
      </c>
      <c r="K48" s="307">
        <f t="shared" si="6"/>
        <v>0</v>
      </c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</row>
    <row r="49" spans="1:30" ht="15.75" thickBot="1">
      <c r="A49" s="249" t="s">
        <v>47</v>
      </c>
      <c r="B49" s="250">
        <v>90</v>
      </c>
      <c r="C49" s="251">
        <f t="shared" si="4"/>
        <v>0</v>
      </c>
      <c r="D49" s="274"/>
      <c r="E49" s="253">
        <f t="shared" si="5"/>
        <v>0</v>
      </c>
      <c r="F49" s="253">
        <f>SUM(D46:D49)</f>
        <v>0</v>
      </c>
      <c r="G49" s="282">
        <f>SUM(E46:E49)</f>
        <v>0</v>
      </c>
      <c r="H49" s="287"/>
      <c r="I49" s="287"/>
      <c r="J49" s="307">
        <f t="shared" si="6"/>
        <v>0</v>
      </c>
      <c r="K49" s="307">
        <f t="shared" si="6"/>
        <v>0</v>
      </c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</row>
    <row r="50" spans="4:30" ht="12.75">
      <c r="D50" s="14">
        <f>SUM(D6:D49)</f>
        <v>18400000</v>
      </c>
      <c r="F50" s="14">
        <f aca="true" t="shared" si="7" ref="F50:K50">SUM(F9+F13+F17+F21+F25++F29+F33+F37+F41+F45+F4)</f>
        <v>18400000</v>
      </c>
      <c r="G50" s="14">
        <f t="shared" si="7"/>
        <v>10679375.000000002</v>
      </c>
      <c r="H50" s="14">
        <f t="shared" si="7"/>
        <v>23000000</v>
      </c>
      <c r="I50" s="14">
        <f t="shared" si="7"/>
        <v>5930000</v>
      </c>
      <c r="J50" s="14">
        <f>SUM(J9+J13+J17+J21+J25++J29+J33+J37+J41+J45+J4+J49)</f>
        <v>41400000</v>
      </c>
      <c r="K50" s="14">
        <f t="shared" si="7"/>
        <v>16609375</v>
      </c>
      <c r="L50" s="19"/>
      <c r="M50" s="30">
        <f>H50+F50</f>
        <v>41400000</v>
      </c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</row>
    <row r="51" spans="6:30" ht="12.75">
      <c r="F51" s="14"/>
      <c r="H51" s="14"/>
      <c r="J51" s="319"/>
      <c r="K51" s="320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</row>
    <row r="52" spans="12:30" ht="12.75"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</row>
  </sheetData>
  <sheetProtection/>
  <mergeCells count="4">
    <mergeCell ref="J1:K1"/>
    <mergeCell ref="H1:H2"/>
    <mergeCell ref="I1:I2"/>
    <mergeCell ref="A1:G2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46"/>
  <sheetViews>
    <sheetView zoomScale="90" zoomScaleNormal="90" zoomScalePageLayoutView="0" workbookViewId="0" topLeftCell="A1">
      <selection activeCell="J45" sqref="J45"/>
    </sheetView>
  </sheetViews>
  <sheetFormatPr defaultColWidth="9.140625" defaultRowHeight="12.75"/>
  <cols>
    <col min="1" max="1" width="13.140625" style="0" customWidth="1"/>
    <col min="2" max="2" width="5.421875" style="1" customWidth="1"/>
    <col min="3" max="3" width="14.28125" style="0" customWidth="1"/>
    <col min="4" max="4" width="11.421875" style="0" customWidth="1"/>
    <col min="5" max="5" width="10.140625" style="2" customWidth="1"/>
    <col min="6" max="6" width="11.421875" style="0" customWidth="1"/>
    <col min="7" max="7" width="13.00390625" style="0" customWidth="1"/>
    <col min="8" max="8" width="11.00390625" style="19" customWidth="1"/>
    <col min="9" max="9" width="9.00390625" style="19" customWidth="1"/>
    <col min="10" max="11" width="10.28125" style="19" customWidth="1"/>
    <col min="12" max="36" width="9.00390625" style="19" customWidth="1"/>
  </cols>
  <sheetData>
    <row r="1" spans="1:7" ht="23.25" customHeight="1">
      <c r="A1" s="534" t="s">
        <v>229</v>
      </c>
      <c r="B1" s="534"/>
      <c r="C1" s="534"/>
      <c r="D1" s="534"/>
      <c r="E1" s="534"/>
      <c r="F1" s="534"/>
      <c r="G1" s="534"/>
    </row>
    <row r="2" spans="1:11" ht="8.25" customHeight="1" thickBot="1">
      <c r="A2" s="20"/>
      <c r="B2" s="21"/>
      <c r="C2" s="22"/>
      <c r="D2" s="22"/>
      <c r="E2" s="22"/>
      <c r="F2" s="22"/>
      <c r="G2" s="22"/>
      <c r="J2" s="544" t="s">
        <v>224</v>
      </c>
      <c r="K2" s="544"/>
    </row>
    <row r="3" spans="1:11" ht="30.75" customHeight="1" thickBot="1">
      <c r="A3" s="3" t="s">
        <v>0</v>
      </c>
      <c r="B3" s="4"/>
      <c r="C3" s="5" t="s">
        <v>1</v>
      </c>
      <c r="D3" s="5" t="s">
        <v>2</v>
      </c>
      <c r="E3" s="23" t="s">
        <v>3</v>
      </c>
      <c r="F3" s="5" t="s">
        <v>4</v>
      </c>
      <c r="G3" s="321" t="s">
        <v>5</v>
      </c>
      <c r="H3" s="332" t="s">
        <v>223</v>
      </c>
      <c r="I3" s="333" t="s">
        <v>3</v>
      </c>
      <c r="J3" s="306" t="s">
        <v>225</v>
      </c>
      <c r="K3" s="306" t="s">
        <v>3</v>
      </c>
    </row>
    <row r="4" spans="1:11" ht="15">
      <c r="A4" s="9" t="s">
        <v>6</v>
      </c>
      <c r="B4" s="10">
        <v>90</v>
      </c>
      <c r="C4" s="11">
        <v>0</v>
      </c>
      <c r="D4" s="24">
        <v>0</v>
      </c>
      <c r="E4" s="25">
        <v>0</v>
      </c>
      <c r="F4" s="25">
        <v>0</v>
      </c>
      <c r="G4" s="322"/>
      <c r="H4" s="334">
        <v>2141585</v>
      </c>
      <c r="I4" s="335">
        <v>733601</v>
      </c>
      <c r="J4" s="307">
        <f>H4+'spł poż'!F8</f>
        <v>2191585</v>
      </c>
      <c r="K4" s="307">
        <f>I4+'spł poż'!G8</f>
        <v>907289</v>
      </c>
    </row>
    <row r="5" spans="1:11" ht="0.75" customHeight="1" thickBot="1">
      <c r="A5" s="27" t="s">
        <v>7</v>
      </c>
      <c r="B5" s="15">
        <v>90</v>
      </c>
      <c r="C5" s="28">
        <f>C4</f>
        <v>0</v>
      </c>
      <c r="D5" s="24">
        <v>0</v>
      </c>
      <c r="E5" s="29">
        <f>B5*C5*5.5%/360</f>
        <v>0</v>
      </c>
      <c r="F5" s="29">
        <v>0</v>
      </c>
      <c r="G5" s="323">
        <f>E4+E5</f>
        <v>0</v>
      </c>
      <c r="H5" s="336"/>
      <c r="I5" s="337"/>
      <c r="J5" s="308"/>
      <c r="K5" s="308"/>
    </row>
    <row r="6" spans="1:36" s="2" customFormat="1" ht="15">
      <c r="A6" s="239" t="s">
        <v>8</v>
      </c>
      <c r="B6" s="240">
        <v>90</v>
      </c>
      <c r="C6" s="241">
        <f>C5-D5</f>
        <v>0</v>
      </c>
      <c r="D6" s="241">
        <v>0</v>
      </c>
      <c r="E6" s="294">
        <f>B6*C6*5.5%/360</f>
        <v>0</v>
      </c>
      <c r="F6" s="294"/>
      <c r="G6" s="324"/>
      <c r="H6" s="338"/>
      <c r="I6" s="339"/>
      <c r="J6" s="309"/>
      <c r="K6" s="309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</row>
    <row r="7" spans="1:11" ht="15">
      <c r="A7" s="244" t="s">
        <v>9</v>
      </c>
      <c r="B7" s="245">
        <v>90</v>
      </c>
      <c r="C7" s="246">
        <f>C6-D6</f>
        <v>0</v>
      </c>
      <c r="D7" s="246">
        <v>0</v>
      </c>
      <c r="E7" s="295">
        <f>B7*C7*5.5%/360</f>
        <v>0</v>
      </c>
      <c r="F7" s="295"/>
      <c r="G7" s="325"/>
      <c r="H7" s="336"/>
      <c r="I7" s="337"/>
      <c r="J7" s="310"/>
      <c r="K7" s="310"/>
    </row>
    <row r="8" spans="1:11" ht="15">
      <c r="A8" s="244" t="s">
        <v>10</v>
      </c>
      <c r="B8" s="245">
        <v>90</v>
      </c>
      <c r="C8" s="246">
        <f>C7-D7</f>
        <v>0</v>
      </c>
      <c r="D8" s="246">
        <v>0</v>
      </c>
      <c r="E8" s="295">
        <f>B8*C8*5.5%/360</f>
        <v>0</v>
      </c>
      <c r="F8" s="295"/>
      <c r="G8" s="325"/>
      <c r="H8" s="336"/>
      <c r="I8" s="337"/>
      <c r="J8" s="310"/>
      <c r="K8" s="310"/>
    </row>
    <row r="9" spans="1:11" ht="15.75" thickBot="1">
      <c r="A9" s="249" t="s">
        <v>11</v>
      </c>
      <c r="B9" s="250">
        <v>90</v>
      </c>
      <c r="C9" s="251"/>
      <c r="D9" s="251">
        <v>0</v>
      </c>
      <c r="E9" s="296"/>
      <c r="F9" s="297">
        <f>D7+D8+D9</f>
        <v>0</v>
      </c>
      <c r="G9" s="326"/>
      <c r="H9" s="340">
        <v>3485040</v>
      </c>
      <c r="I9" s="341">
        <v>697952</v>
      </c>
      <c r="J9" s="311">
        <f>H9+F9+'spł poż'!F8</f>
        <v>3535040</v>
      </c>
      <c r="K9" s="311">
        <f>I9+G9+'spł poż'!G8</f>
        <v>871640</v>
      </c>
    </row>
    <row r="10" spans="1:11" ht="15">
      <c r="A10" s="239" t="s">
        <v>12</v>
      </c>
      <c r="B10" s="240">
        <v>90</v>
      </c>
      <c r="C10" s="241">
        <f>C9-D9</f>
        <v>0</v>
      </c>
      <c r="D10" s="241"/>
      <c r="E10" s="294">
        <f>B10*C10*0.07/360</f>
        <v>0</v>
      </c>
      <c r="F10" s="294"/>
      <c r="G10" s="324"/>
      <c r="H10" s="336"/>
      <c r="I10" s="337"/>
      <c r="J10" s="312">
        <f>H10+F10+'spł poż'!F9</f>
        <v>0</v>
      </c>
      <c r="K10" s="312">
        <f>I10+G10+'spł poż'!G9</f>
        <v>0</v>
      </c>
    </row>
    <row r="11" spans="1:11" ht="15">
      <c r="A11" s="244" t="s">
        <v>13</v>
      </c>
      <c r="B11" s="245">
        <v>90</v>
      </c>
      <c r="C11" s="246">
        <f aca="true" t="shared" si="0" ref="C11:C44">C10-D10</f>
        <v>0</v>
      </c>
      <c r="D11" s="246"/>
      <c r="E11" s="295">
        <f aca="true" t="shared" si="1" ref="E11:E41">B11*C11*0.07/360</f>
        <v>0</v>
      </c>
      <c r="F11" s="295"/>
      <c r="G11" s="325"/>
      <c r="H11" s="336"/>
      <c r="I11" s="337"/>
      <c r="J11" s="313">
        <f>H11+F11+'spł poż'!F10</f>
        <v>0</v>
      </c>
      <c r="K11" s="313">
        <f>I11+G11+'spł poż'!G10</f>
        <v>0</v>
      </c>
    </row>
    <row r="12" spans="1:11" ht="15">
      <c r="A12" s="244" t="s">
        <v>14</v>
      </c>
      <c r="B12" s="245">
        <v>90</v>
      </c>
      <c r="C12" s="246">
        <f t="shared" si="0"/>
        <v>0</v>
      </c>
      <c r="D12" s="246"/>
      <c r="E12" s="295">
        <f t="shared" si="1"/>
        <v>0</v>
      </c>
      <c r="F12" s="295"/>
      <c r="G12" s="325"/>
      <c r="H12" s="336"/>
      <c r="I12" s="337"/>
      <c r="J12" s="313">
        <f>H12+F12+'spł poż'!F11</f>
        <v>0</v>
      </c>
      <c r="K12" s="313">
        <f>I12+G12+'spł poż'!G11</f>
        <v>0</v>
      </c>
    </row>
    <row r="13" spans="1:11" ht="15.75" thickBot="1">
      <c r="A13" s="249" t="s">
        <v>15</v>
      </c>
      <c r="B13" s="250">
        <v>90</v>
      </c>
      <c r="C13" s="251">
        <f t="shared" si="0"/>
        <v>0</v>
      </c>
      <c r="D13" s="251"/>
      <c r="E13" s="297">
        <f t="shared" si="1"/>
        <v>0</v>
      </c>
      <c r="F13" s="297">
        <f>SUM(D10:D13)</f>
        <v>0</v>
      </c>
      <c r="G13" s="326">
        <f>SUM(E10:E13)</f>
        <v>0</v>
      </c>
      <c r="H13" s="340">
        <v>3616899</v>
      </c>
      <c r="I13" s="341">
        <v>575506</v>
      </c>
      <c r="J13" s="311">
        <f>H13+F13+'spł poż'!F12</f>
        <v>3666899</v>
      </c>
      <c r="K13" s="311">
        <f>I13+G13+'spł poż'!G12</f>
        <v>745694</v>
      </c>
    </row>
    <row r="14" spans="1:11" ht="15">
      <c r="A14" s="239" t="s">
        <v>16</v>
      </c>
      <c r="B14" s="240">
        <v>90</v>
      </c>
      <c r="C14" s="241">
        <f t="shared" si="0"/>
        <v>0</v>
      </c>
      <c r="D14" s="241"/>
      <c r="E14" s="294">
        <f t="shared" si="1"/>
        <v>0</v>
      </c>
      <c r="F14" s="294"/>
      <c r="G14" s="324"/>
      <c r="H14" s="336"/>
      <c r="I14" s="337"/>
      <c r="J14" s="312">
        <f>H14+F14+'spł poż'!F13</f>
        <v>0</v>
      </c>
      <c r="K14" s="312">
        <f>I14+G14+'spł poż'!G13</f>
        <v>0</v>
      </c>
    </row>
    <row r="15" spans="1:11" ht="15">
      <c r="A15" s="244" t="s">
        <v>17</v>
      </c>
      <c r="B15" s="245">
        <v>90</v>
      </c>
      <c r="C15" s="246">
        <f t="shared" si="0"/>
        <v>0</v>
      </c>
      <c r="D15" s="246"/>
      <c r="E15" s="295">
        <f t="shared" si="1"/>
        <v>0</v>
      </c>
      <c r="F15" s="295"/>
      <c r="G15" s="325"/>
      <c r="H15" s="336"/>
      <c r="I15" s="337"/>
      <c r="J15" s="313">
        <f>H15+F15+'spł poż'!F14</f>
        <v>0</v>
      </c>
      <c r="K15" s="313">
        <f>I15+G15+'spł poż'!G14</f>
        <v>0</v>
      </c>
    </row>
    <row r="16" spans="1:11" ht="15">
      <c r="A16" s="244" t="s">
        <v>18</v>
      </c>
      <c r="B16" s="245">
        <v>90</v>
      </c>
      <c r="C16" s="246">
        <f t="shared" si="0"/>
        <v>0</v>
      </c>
      <c r="D16" s="246"/>
      <c r="E16" s="295">
        <f t="shared" si="1"/>
        <v>0</v>
      </c>
      <c r="F16" s="295"/>
      <c r="G16" s="325"/>
      <c r="H16" s="336"/>
      <c r="I16" s="337"/>
      <c r="J16" s="313">
        <f>H16+F16+'spł poż'!F15</f>
        <v>0</v>
      </c>
      <c r="K16" s="313">
        <f>I16+G16+'spł poż'!G15</f>
        <v>0</v>
      </c>
    </row>
    <row r="17" spans="1:11" ht="15.75" thickBot="1">
      <c r="A17" s="249" t="s">
        <v>19</v>
      </c>
      <c r="B17" s="250">
        <v>90</v>
      </c>
      <c r="C17" s="251">
        <f t="shared" si="0"/>
        <v>0</v>
      </c>
      <c r="D17" s="251"/>
      <c r="E17" s="297">
        <f t="shared" si="1"/>
        <v>0</v>
      </c>
      <c r="F17" s="297">
        <f>SUM(D14:D17)</f>
        <v>0</v>
      </c>
      <c r="G17" s="326">
        <f>SUM(E14:E17)</f>
        <v>0</v>
      </c>
      <c r="H17" s="340">
        <v>3456453</v>
      </c>
      <c r="I17" s="341">
        <v>349963</v>
      </c>
      <c r="J17" s="311">
        <f>H17+F17+'spł poż'!F16</f>
        <v>3506453</v>
      </c>
      <c r="K17" s="311">
        <f>I17+G17+'spł poż'!G16</f>
        <v>516651</v>
      </c>
    </row>
    <row r="18" spans="1:11" ht="15">
      <c r="A18" s="239" t="s">
        <v>20</v>
      </c>
      <c r="B18" s="240">
        <v>90</v>
      </c>
      <c r="C18" s="241">
        <f t="shared" si="0"/>
        <v>0</v>
      </c>
      <c r="D18" s="241">
        <f>D17</f>
        <v>0</v>
      </c>
      <c r="E18" s="294">
        <f t="shared" si="1"/>
        <v>0</v>
      </c>
      <c r="F18" s="294"/>
      <c r="G18" s="324"/>
      <c r="H18" s="336"/>
      <c r="I18" s="337"/>
      <c r="J18" s="312">
        <f>H18+F18+'spł poż'!F17</f>
        <v>0</v>
      </c>
      <c r="K18" s="312">
        <f>I18+G18+'spł poż'!G17</f>
        <v>0</v>
      </c>
    </row>
    <row r="19" spans="1:11" ht="15">
      <c r="A19" s="244" t="s">
        <v>21</v>
      </c>
      <c r="B19" s="245">
        <v>90</v>
      </c>
      <c r="C19" s="246">
        <f t="shared" si="0"/>
        <v>0</v>
      </c>
      <c r="D19" s="246"/>
      <c r="E19" s="295">
        <f t="shared" si="1"/>
        <v>0</v>
      </c>
      <c r="F19" s="295"/>
      <c r="G19" s="325"/>
      <c r="H19" s="336"/>
      <c r="I19" s="337"/>
      <c r="J19" s="313">
        <f>H19+F19+'spł poż'!F18</f>
        <v>0</v>
      </c>
      <c r="K19" s="313">
        <f>I19+G19+'spł poż'!G18</f>
        <v>0</v>
      </c>
    </row>
    <row r="20" spans="1:36" s="17" customFormat="1" ht="15">
      <c r="A20" s="254" t="s">
        <v>22</v>
      </c>
      <c r="B20" s="255">
        <v>90</v>
      </c>
      <c r="C20" s="246">
        <f t="shared" si="0"/>
        <v>0</v>
      </c>
      <c r="D20" s="246"/>
      <c r="E20" s="295">
        <f t="shared" si="1"/>
        <v>0</v>
      </c>
      <c r="F20" s="298"/>
      <c r="G20" s="327"/>
      <c r="H20" s="336"/>
      <c r="I20" s="337"/>
      <c r="J20" s="313">
        <f>H20+F20+'spł poż'!F19</f>
        <v>0</v>
      </c>
      <c r="K20" s="313">
        <f>I20+G20+'spł poż'!G19</f>
        <v>0</v>
      </c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</row>
    <row r="21" spans="1:36" s="17" customFormat="1" ht="15.75" thickBot="1">
      <c r="A21" s="260" t="s">
        <v>23</v>
      </c>
      <c r="B21" s="261">
        <v>90</v>
      </c>
      <c r="C21" s="262">
        <f t="shared" si="0"/>
        <v>0</v>
      </c>
      <c r="D21" s="275"/>
      <c r="E21" s="300">
        <f t="shared" si="1"/>
        <v>0</v>
      </c>
      <c r="F21" s="301">
        <f>SUM(D18:D21)</f>
        <v>0</v>
      </c>
      <c r="G21" s="328">
        <f>SUM(E18:E21)</f>
        <v>0</v>
      </c>
      <c r="H21" s="340">
        <v>2500000</v>
      </c>
      <c r="I21" s="341">
        <v>258568</v>
      </c>
      <c r="J21" s="314">
        <f>H21+F21+'spł poż'!F20</f>
        <v>2550000</v>
      </c>
      <c r="K21" s="314">
        <f>I21+G21+'spł poż'!G20</f>
        <v>421756</v>
      </c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</row>
    <row r="22" spans="1:11" ht="15">
      <c r="A22" s="239" t="s">
        <v>24</v>
      </c>
      <c r="B22" s="240">
        <v>90</v>
      </c>
      <c r="C22" s="241">
        <f t="shared" si="0"/>
        <v>0</v>
      </c>
      <c r="D22" s="268"/>
      <c r="E22" s="294">
        <f t="shared" si="1"/>
        <v>0</v>
      </c>
      <c r="F22" s="294"/>
      <c r="G22" s="324"/>
      <c r="H22" s="336"/>
      <c r="I22" s="337"/>
      <c r="J22" s="312">
        <f>H22+F22+'spł poż'!F21</f>
        <v>0</v>
      </c>
      <c r="K22" s="312">
        <f>I22+G22+'spł poż'!G21</f>
        <v>0</v>
      </c>
    </row>
    <row r="23" spans="1:11" ht="15">
      <c r="A23" s="244" t="s">
        <v>25</v>
      </c>
      <c r="B23" s="245">
        <v>90</v>
      </c>
      <c r="C23" s="246">
        <f t="shared" si="0"/>
        <v>0</v>
      </c>
      <c r="D23" s="270"/>
      <c r="E23" s="295">
        <f t="shared" si="1"/>
        <v>0</v>
      </c>
      <c r="F23" s="295"/>
      <c r="G23" s="325"/>
      <c r="H23" s="336"/>
      <c r="I23" s="337"/>
      <c r="J23" s="313">
        <f>H23+F23+'spł poż'!F22</f>
        <v>0</v>
      </c>
      <c r="K23" s="313">
        <f>I23+G23+'spł poż'!G22</f>
        <v>0</v>
      </c>
    </row>
    <row r="24" spans="1:11" ht="15">
      <c r="A24" s="244" t="s">
        <v>26</v>
      </c>
      <c r="B24" s="245">
        <v>90</v>
      </c>
      <c r="C24" s="246">
        <f t="shared" si="0"/>
        <v>0</v>
      </c>
      <c r="D24" s="246"/>
      <c r="E24" s="295">
        <f t="shared" si="1"/>
        <v>0</v>
      </c>
      <c r="F24" s="295"/>
      <c r="G24" s="325"/>
      <c r="H24" s="336"/>
      <c r="I24" s="337"/>
      <c r="J24" s="313">
        <f>H24+F24+'spł poż'!F23</f>
        <v>0</v>
      </c>
      <c r="K24" s="313">
        <f>I24+G24+'spł poż'!G23</f>
        <v>0</v>
      </c>
    </row>
    <row r="25" spans="1:11" ht="15.75" thickBot="1">
      <c r="A25" s="249" t="s">
        <v>27</v>
      </c>
      <c r="B25" s="250">
        <v>90</v>
      </c>
      <c r="C25" s="251">
        <f t="shared" si="0"/>
        <v>0</v>
      </c>
      <c r="D25" s="251"/>
      <c r="E25" s="297">
        <f t="shared" si="1"/>
        <v>0</v>
      </c>
      <c r="F25" s="297">
        <f>SUM(D22:D25)</f>
        <v>0</v>
      </c>
      <c r="G25" s="326">
        <f>SUM(E22:E25)</f>
        <v>0</v>
      </c>
      <c r="H25" s="340">
        <v>2500000</v>
      </c>
      <c r="I25" s="341">
        <v>171068</v>
      </c>
      <c r="J25" s="311">
        <f>H25+F25+'spł poż'!F24</f>
        <v>2550000</v>
      </c>
      <c r="K25" s="311">
        <f>I25+G25+'spł poż'!G24</f>
        <v>330756</v>
      </c>
    </row>
    <row r="26" spans="1:36" s="17" customFormat="1" ht="15">
      <c r="A26" s="266" t="s">
        <v>28</v>
      </c>
      <c r="B26" s="267">
        <v>90</v>
      </c>
      <c r="C26" s="241">
        <f t="shared" si="0"/>
        <v>0</v>
      </c>
      <c r="D26" s="268"/>
      <c r="E26" s="294">
        <f t="shared" si="1"/>
        <v>0</v>
      </c>
      <c r="F26" s="302"/>
      <c r="G26" s="329"/>
      <c r="H26" s="336"/>
      <c r="I26" s="337"/>
      <c r="J26" s="312">
        <f>H26+F26+'spł poż'!F25</f>
        <v>0</v>
      </c>
      <c r="K26" s="312">
        <f>I26+G26+'spł poż'!G25</f>
        <v>0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</row>
    <row r="27" spans="1:36" s="17" customFormat="1" ht="15">
      <c r="A27" s="254" t="s">
        <v>29</v>
      </c>
      <c r="B27" s="255">
        <v>90</v>
      </c>
      <c r="C27" s="246">
        <f t="shared" si="0"/>
        <v>0</v>
      </c>
      <c r="D27" s="270"/>
      <c r="E27" s="295">
        <f t="shared" si="1"/>
        <v>0</v>
      </c>
      <c r="F27" s="298"/>
      <c r="G27" s="327"/>
      <c r="H27" s="336"/>
      <c r="I27" s="337"/>
      <c r="J27" s="313">
        <f>H27+F27+'spł poż'!F26</f>
        <v>0</v>
      </c>
      <c r="K27" s="313">
        <f>I27+G27+'spł poż'!G26</f>
        <v>0</v>
      </c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</row>
    <row r="28" spans="1:36" s="17" customFormat="1" ht="15">
      <c r="A28" s="254" t="s">
        <v>30</v>
      </c>
      <c r="B28" s="255">
        <v>90</v>
      </c>
      <c r="C28" s="246">
        <f t="shared" si="0"/>
        <v>0</v>
      </c>
      <c r="D28" s="270"/>
      <c r="E28" s="295">
        <f t="shared" si="1"/>
        <v>0</v>
      </c>
      <c r="F28" s="298"/>
      <c r="G28" s="327"/>
      <c r="H28" s="336"/>
      <c r="I28" s="337"/>
      <c r="J28" s="313">
        <f>H28+F28+'spł poż'!F27</f>
        <v>0</v>
      </c>
      <c r="K28" s="313">
        <f>I28+G28+'spł poż'!G27</f>
        <v>0</v>
      </c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</row>
    <row r="29" spans="1:36" s="17" customFormat="1" ht="15.75" thickBot="1">
      <c r="A29" s="257" t="s">
        <v>31</v>
      </c>
      <c r="B29" s="258">
        <v>90</v>
      </c>
      <c r="C29" s="251">
        <f t="shared" si="0"/>
        <v>0</v>
      </c>
      <c r="D29" s="271"/>
      <c r="E29" s="297">
        <f t="shared" si="1"/>
        <v>0</v>
      </c>
      <c r="F29" s="299">
        <f>SUM(D26:D29)</f>
        <v>0</v>
      </c>
      <c r="G29" s="330">
        <f>SUM(E26:E29)</f>
        <v>0</v>
      </c>
      <c r="H29" s="340">
        <v>2376170</v>
      </c>
      <c r="I29" s="341">
        <v>83568</v>
      </c>
      <c r="J29" s="311">
        <f>H29+F29+'spł poż'!F28</f>
        <v>2401170</v>
      </c>
      <c r="K29" s="311">
        <f>I29+G29+'spł poż'!G28</f>
        <v>212193</v>
      </c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</row>
    <row r="30" spans="1:11" ht="15">
      <c r="A30" s="239" t="s">
        <v>32</v>
      </c>
      <c r="B30" s="240">
        <v>90</v>
      </c>
      <c r="C30" s="241">
        <f t="shared" si="0"/>
        <v>0</v>
      </c>
      <c r="D30" s="241"/>
      <c r="E30" s="294">
        <f t="shared" si="1"/>
        <v>0</v>
      </c>
      <c r="F30" s="294"/>
      <c r="G30" s="324"/>
      <c r="H30" s="336"/>
      <c r="I30" s="337"/>
      <c r="J30" s="312">
        <f>H30+F30+'spł poż'!F29</f>
        <v>0</v>
      </c>
      <c r="K30" s="312">
        <f>I30+G30+'spł poż'!G29</f>
        <v>0</v>
      </c>
    </row>
    <row r="31" spans="1:11" ht="15">
      <c r="A31" s="244" t="s">
        <v>33</v>
      </c>
      <c r="B31" s="245">
        <v>90</v>
      </c>
      <c r="C31" s="246">
        <f t="shared" si="0"/>
        <v>0</v>
      </c>
      <c r="D31" s="270"/>
      <c r="E31" s="295">
        <f t="shared" si="1"/>
        <v>0</v>
      </c>
      <c r="F31" s="295"/>
      <c r="G31" s="325"/>
      <c r="H31" s="336"/>
      <c r="I31" s="337"/>
      <c r="J31" s="313">
        <f>H31+F31+'spł poż'!F30</f>
        <v>0</v>
      </c>
      <c r="K31" s="313">
        <f>I31+G31+'spł poż'!G30</f>
        <v>0</v>
      </c>
    </row>
    <row r="32" spans="1:11" ht="15">
      <c r="A32" s="244" t="s">
        <v>34</v>
      </c>
      <c r="B32" s="245">
        <v>90</v>
      </c>
      <c r="C32" s="246">
        <f t="shared" si="0"/>
        <v>0</v>
      </c>
      <c r="D32" s="270"/>
      <c r="E32" s="295">
        <f t="shared" si="1"/>
        <v>0</v>
      </c>
      <c r="F32" s="295"/>
      <c r="G32" s="325"/>
      <c r="H32" s="336"/>
      <c r="I32" s="337"/>
      <c r="J32" s="313">
        <f>H32+F32+'spł poż'!F31</f>
        <v>0</v>
      </c>
      <c r="K32" s="313">
        <f>I32+G32+'spł poż'!G31</f>
        <v>0</v>
      </c>
    </row>
    <row r="33" spans="1:11" ht="15.75" thickBot="1">
      <c r="A33" s="303" t="s">
        <v>35</v>
      </c>
      <c r="B33" s="304">
        <v>90</v>
      </c>
      <c r="C33" s="262">
        <f t="shared" si="0"/>
        <v>0</v>
      </c>
      <c r="D33" s="275"/>
      <c r="E33" s="300">
        <f t="shared" si="1"/>
        <v>0</v>
      </c>
      <c r="F33" s="300">
        <f>SUM(D30:D33)</f>
        <v>0</v>
      </c>
      <c r="G33" s="331">
        <f>SUM(E30:E33)</f>
        <v>0</v>
      </c>
      <c r="H33" s="340">
        <v>11500</v>
      </c>
      <c r="I33" s="337">
        <v>403</v>
      </c>
      <c r="J33" s="314">
        <f>H33+F33+'spł poż'!F32</f>
        <v>62028</v>
      </c>
      <c r="K33" s="314">
        <f>I33+G33+'spł poż'!G32</f>
        <v>126831.26000000002</v>
      </c>
    </row>
    <row r="34" spans="1:36" s="17" customFormat="1" ht="15">
      <c r="A34" s="266" t="s">
        <v>36</v>
      </c>
      <c r="B34" s="267">
        <v>90</v>
      </c>
      <c r="C34" s="241">
        <f t="shared" si="0"/>
        <v>0</v>
      </c>
      <c r="D34" s="268"/>
      <c r="E34" s="294">
        <f t="shared" si="1"/>
        <v>0</v>
      </c>
      <c r="F34" s="302"/>
      <c r="G34" s="329"/>
      <c r="H34" s="336"/>
      <c r="I34" s="337"/>
      <c r="J34" s="312">
        <f>H34+F34+'spł poż'!F33</f>
        <v>0</v>
      </c>
      <c r="K34" s="312">
        <f>I34+G34+'spł poż'!G33</f>
        <v>0</v>
      </c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</row>
    <row r="35" spans="1:36" s="17" customFormat="1" ht="15">
      <c r="A35" s="254" t="s">
        <v>37</v>
      </c>
      <c r="B35" s="255">
        <v>90</v>
      </c>
      <c r="C35" s="246">
        <f t="shared" si="0"/>
        <v>0</v>
      </c>
      <c r="D35" s="270">
        <f>D34</f>
        <v>0</v>
      </c>
      <c r="E35" s="295">
        <f t="shared" si="1"/>
        <v>0</v>
      </c>
      <c r="F35" s="298"/>
      <c r="G35" s="327"/>
      <c r="H35" s="336"/>
      <c r="I35" s="337"/>
      <c r="J35" s="313">
        <f>H35+F35+'spł poż'!F34</f>
        <v>0</v>
      </c>
      <c r="K35" s="313">
        <f>I35+G35+'spł poż'!G34</f>
        <v>0</v>
      </c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</row>
    <row r="36" spans="1:36" s="17" customFormat="1" ht="15">
      <c r="A36" s="254" t="s">
        <v>38</v>
      </c>
      <c r="B36" s="255">
        <v>90</v>
      </c>
      <c r="C36" s="246">
        <f t="shared" si="0"/>
        <v>0</v>
      </c>
      <c r="D36" s="270"/>
      <c r="E36" s="295">
        <f t="shared" si="1"/>
        <v>0</v>
      </c>
      <c r="F36" s="298"/>
      <c r="G36" s="327"/>
      <c r="H36" s="336"/>
      <c r="I36" s="337"/>
      <c r="J36" s="313">
        <f>H36+F36+'spł poż'!F35</f>
        <v>0</v>
      </c>
      <c r="K36" s="313">
        <f>I36+G36+'spł poż'!G35</f>
        <v>0</v>
      </c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</row>
    <row r="37" spans="1:36" s="17" customFormat="1" ht="15.75" thickBot="1">
      <c r="A37" s="257" t="s">
        <v>39</v>
      </c>
      <c r="B37" s="258">
        <v>90</v>
      </c>
      <c r="C37" s="251">
        <f t="shared" si="0"/>
        <v>0</v>
      </c>
      <c r="D37" s="271"/>
      <c r="E37" s="297">
        <f t="shared" si="1"/>
        <v>0</v>
      </c>
      <c r="F37" s="299">
        <f>SUM(D34:D37)</f>
        <v>0</v>
      </c>
      <c r="G37" s="330">
        <f>SUM(E34:E37)</f>
        <v>0</v>
      </c>
      <c r="H37" s="336"/>
      <c r="I37" s="337"/>
      <c r="J37" s="311">
        <f>H37+F37+'spł poż'!F36</f>
        <v>750523</v>
      </c>
      <c r="K37" s="311">
        <f>I37+G37+'spł poż'!G36</f>
        <v>107150.54000000001</v>
      </c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</row>
    <row r="38" spans="1:11" ht="15">
      <c r="A38" s="239" t="s">
        <v>40</v>
      </c>
      <c r="B38" s="240">
        <v>90</v>
      </c>
      <c r="C38" s="241">
        <f t="shared" si="0"/>
        <v>0</v>
      </c>
      <c r="D38" s="241">
        <f>D37</f>
        <v>0</v>
      </c>
      <c r="E38" s="294">
        <f t="shared" si="1"/>
        <v>0</v>
      </c>
      <c r="F38" s="294"/>
      <c r="G38" s="324"/>
      <c r="H38" s="336"/>
      <c r="I38" s="337"/>
      <c r="J38" s="312">
        <f>H38+F38+'spł poż'!F37</f>
        <v>0</v>
      </c>
      <c r="K38" s="312">
        <f>I38+G38+'spł poż'!G37</f>
        <v>0</v>
      </c>
    </row>
    <row r="39" spans="1:11" ht="15">
      <c r="A39" s="244" t="s">
        <v>41</v>
      </c>
      <c r="B39" s="245">
        <v>90</v>
      </c>
      <c r="C39" s="246">
        <f t="shared" si="0"/>
        <v>0</v>
      </c>
      <c r="D39" s="246">
        <f>D38</f>
        <v>0</v>
      </c>
      <c r="E39" s="295">
        <f t="shared" si="1"/>
        <v>0</v>
      </c>
      <c r="F39" s="295"/>
      <c r="G39" s="325"/>
      <c r="H39" s="336"/>
      <c r="I39" s="337"/>
      <c r="J39" s="313">
        <f>H39+F39+'spł poż'!F38</f>
        <v>0</v>
      </c>
      <c r="K39" s="313">
        <f>I39+G39+'spł poż'!G38</f>
        <v>0</v>
      </c>
    </row>
    <row r="40" spans="1:11" ht="15">
      <c r="A40" s="244" t="s">
        <v>42</v>
      </c>
      <c r="B40" s="245">
        <v>90</v>
      </c>
      <c r="C40" s="246">
        <f t="shared" si="0"/>
        <v>0</v>
      </c>
      <c r="D40" s="246">
        <f>D39</f>
        <v>0</v>
      </c>
      <c r="E40" s="295">
        <f t="shared" si="1"/>
        <v>0</v>
      </c>
      <c r="F40" s="295"/>
      <c r="G40" s="325"/>
      <c r="H40" s="336"/>
      <c r="I40" s="337"/>
      <c r="J40" s="313">
        <f>H40+F40+'spł poż'!F39</f>
        <v>0</v>
      </c>
      <c r="K40" s="313">
        <f>I40+G40+'spł poż'!G39</f>
        <v>0</v>
      </c>
    </row>
    <row r="41" spans="1:11" ht="15.75" thickBot="1">
      <c r="A41" s="249" t="s">
        <v>43</v>
      </c>
      <c r="B41" s="250">
        <v>90</v>
      </c>
      <c r="C41" s="251">
        <f t="shared" si="0"/>
        <v>0</v>
      </c>
      <c r="D41" s="251"/>
      <c r="E41" s="297">
        <f t="shared" si="1"/>
        <v>0</v>
      </c>
      <c r="F41" s="297">
        <f>SUM(D38:D41)</f>
        <v>0</v>
      </c>
      <c r="G41" s="326">
        <f>SUM(E38:E41)</f>
        <v>0</v>
      </c>
      <c r="H41" s="336"/>
      <c r="I41" s="337"/>
      <c r="J41" s="311">
        <f>H41+F41+'spł poż'!F40</f>
        <v>600000</v>
      </c>
      <c r="K41" s="311">
        <f>I41+G41+'spł poż'!G40</f>
        <v>55926.43</v>
      </c>
    </row>
    <row r="42" spans="1:11" ht="15">
      <c r="A42" s="239" t="s">
        <v>44</v>
      </c>
      <c r="B42" s="240">
        <v>90</v>
      </c>
      <c r="C42" s="241">
        <f t="shared" si="0"/>
        <v>0</v>
      </c>
      <c r="D42" s="241"/>
      <c r="E42" s="294">
        <f>B42*C42*0.07/360</f>
        <v>0</v>
      </c>
      <c r="F42" s="294"/>
      <c r="G42" s="324"/>
      <c r="H42" s="336"/>
      <c r="I42" s="337"/>
      <c r="J42" s="312">
        <f>H42+F42+'spł poż'!F41</f>
        <v>0</v>
      </c>
      <c r="K42" s="312">
        <f>I42+G42+'spł poż'!G41</f>
        <v>0</v>
      </c>
    </row>
    <row r="43" spans="1:11" ht="15">
      <c r="A43" s="244" t="s">
        <v>45</v>
      </c>
      <c r="B43" s="245">
        <v>90</v>
      </c>
      <c r="C43" s="246">
        <f t="shared" si="0"/>
        <v>0</v>
      </c>
      <c r="D43" s="246"/>
      <c r="E43" s="295">
        <f>B43*C43*0.07/360</f>
        <v>0</v>
      </c>
      <c r="F43" s="295"/>
      <c r="G43" s="325"/>
      <c r="H43" s="336"/>
      <c r="I43" s="337"/>
      <c r="J43" s="313">
        <f>H43+F43+'spł poż'!F42</f>
        <v>0</v>
      </c>
      <c r="K43" s="313">
        <f>I43+G43+'spł poż'!G42</f>
        <v>0</v>
      </c>
    </row>
    <row r="44" spans="1:11" ht="15">
      <c r="A44" s="244" t="s">
        <v>46</v>
      </c>
      <c r="B44" s="245">
        <v>90</v>
      </c>
      <c r="C44" s="246">
        <f t="shared" si="0"/>
        <v>0</v>
      </c>
      <c r="D44" s="246"/>
      <c r="E44" s="295">
        <f>B44*C44*0.07/360</f>
        <v>0</v>
      </c>
      <c r="F44" s="295"/>
      <c r="G44" s="325"/>
      <c r="H44" s="336"/>
      <c r="I44" s="337"/>
      <c r="J44" s="313">
        <f>H44+F44+'spł poż'!F43</f>
        <v>0</v>
      </c>
      <c r="K44" s="313">
        <f>I44+G44+'spł poż'!G43</f>
        <v>0</v>
      </c>
    </row>
    <row r="45" spans="1:11" ht="15.75" thickBot="1">
      <c r="A45" s="249" t="s">
        <v>47</v>
      </c>
      <c r="B45" s="250">
        <v>90</v>
      </c>
      <c r="C45" s="251">
        <f>C44-D44</f>
        <v>0</v>
      </c>
      <c r="D45" s="251"/>
      <c r="E45" s="297">
        <f>B45*C45*0.07/360</f>
        <v>0</v>
      </c>
      <c r="F45" s="297">
        <f>SUM(D42:D45)</f>
        <v>0</v>
      </c>
      <c r="G45" s="326">
        <f>SUM(E42:E45)</f>
        <v>0</v>
      </c>
      <c r="H45" s="342"/>
      <c r="I45" s="343"/>
      <c r="J45" s="311">
        <f>H45+F45+'spł poż'!F44</f>
        <v>423949</v>
      </c>
      <c r="K45" s="311">
        <f>I45+G45+'spł poż'!G44</f>
        <v>18757.322500000002</v>
      </c>
    </row>
    <row r="46" spans="4:11" ht="12.75">
      <c r="D46" s="14">
        <f>SUM(D10:D45)</f>
        <v>0</v>
      </c>
      <c r="J46" s="305"/>
      <c r="K46" s="356">
        <f>SUM(K4:K45)</f>
        <v>4314644.552499999</v>
      </c>
    </row>
  </sheetData>
  <sheetProtection/>
  <mergeCells count="2">
    <mergeCell ref="A1:G1"/>
    <mergeCell ref="J2:K2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8"/>
  <sheetViews>
    <sheetView view="pageBreakPreview" zoomScale="75" zoomScaleNormal="90" zoomScaleSheetLayoutView="75" zoomScalePageLayoutView="0" workbookViewId="0" topLeftCell="A1">
      <selection activeCell="J41" sqref="J41"/>
    </sheetView>
  </sheetViews>
  <sheetFormatPr defaultColWidth="11.57421875" defaultRowHeight="12.75"/>
  <cols>
    <col min="1" max="1" width="4.00390625" style="0" customWidth="1"/>
    <col min="2" max="2" width="6.8515625" style="0" customWidth="1"/>
    <col min="3" max="3" width="51.00390625" style="31" customWidth="1"/>
    <col min="4" max="4" width="14.28125" style="0" customWidth="1"/>
    <col min="5" max="5" width="14.8515625" style="0" customWidth="1"/>
    <col min="6" max="6" width="13.421875" style="31" customWidth="1"/>
    <col min="7" max="7" width="15.7109375" style="0" customWidth="1"/>
    <col min="8" max="8" width="16.140625" style="0" customWidth="1"/>
    <col min="9" max="9" width="16.00390625" style="0" customWidth="1"/>
    <col min="10" max="10" width="15.8515625" style="0" customWidth="1"/>
    <col min="11" max="11" width="14.28125" style="0" customWidth="1"/>
    <col min="12" max="12" width="16.28125" style="0" customWidth="1"/>
    <col min="13" max="13" width="16.00390625" style="0" customWidth="1"/>
    <col min="14" max="14" width="15.8515625" style="0" customWidth="1"/>
    <col min="15" max="15" width="16.00390625" style="0" customWidth="1"/>
    <col min="16" max="17" width="16.28125" style="0" customWidth="1"/>
  </cols>
  <sheetData>
    <row r="1" spans="1:17" ht="19.5" customHeigh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8"/>
      <c r="M1" s="57"/>
      <c r="N1" s="59" t="s">
        <v>48</v>
      </c>
      <c r="O1" s="59"/>
      <c r="P1" s="60"/>
      <c r="Q1" s="60"/>
    </row>
    <row r="2" spans="1:17" ht="3.75" customHeight="1">
      <c r="A2" s="61"/>
      <c r="B2" s="61"/>
      <c r="C2" s="62"/>
      <c r="D2" s="62"/>
      <c r="E2" s="62"/>
      <c r="F2" s="62"/>
      <c r="G2" s="62"/>
      <c r="H2" s="62"/>
      <c r="I2" s="62"/>
      <c r="J2" s="62"/>
      <c r="K2" s="62"/>
      <c r="L2" s="63"/>
      <c r="M2" s="62"/>
      <c r="N2" s="64"/>
      <c r="O2" s="65"/>
      <c r="P2" s="62"/>
      <c r="Q2" s="62"/>
    </row>
    <row r="3" spans="1:17" ht="18" customHeight="1">
      <c r="A3" s="66"/>
      <c r="B3" s="66"/>
      <c r="C3" s="67"/>
      <c r="D3" s="67"/>
      <c r="E3" s="67"/>
      <c r="F3" s="67"/>
      <c r="G3" s="67"/>
      <c r="H3" s="67"/>
      <c r="I3" s="67"/>
      <c r="J3" s="67"/>
      <c r="K3" s="67"/>
      <c r="L3" s="68"/>
      <c r="M3" s="67"/>
      <c r="N3" s="69" t="s">
        <v>340</v>
      </c>
      <c r="O3" s="65"/>
      <c r="P3" s="67"/>
      <c r="Q3" s="67"/>
    </row>
    <row r="4" spans="1:17" ht="16.5" customHeight="1">
      <c r="A4" s="66"/>
      <c r="B4" s="66"/>
      <c r="C4" s="67"/>
      <c r="D4" s="67"/>
      <c r="E4" s="67"/>
      <c r="F4" s="67"/>
      <c r="G4" s="67"/>
      <c r="H4" s="67"/>
      <c r="I4" s="67"/>
      <c r="J4" s="67"/>
      <c r="K4" s="67"/>
      <c r="L4" s="68"/>
      <c r="M4" s="67"/>
      <c r="N4" s="69" t="s">
        <v>49</v>
      </c>
      <c r="O4" s="65"/>
      <c r="P4" s="67"/>
      <c r="Q4" s="67"/>
    </row>
    <row r="5" spans="1:17" ht="17.25" customHeight="1">
      <c r="A5" s="66"/>
      <c r="B5" s="66"/>
      <c r="C5" s="67"/>
      <c r="D5" s="67"/>
      <c r="E5" s="67"/>
      <c r="F5" s="67"/>
      <c r="G5" s="67"/>
      <c r="H5" s="67"/>
      <c r="I5" s="67"/>
      <c r="J5" s="67"/>
      <c r="K5" s="67"/>
      <c r="L5" s="68"/>
      <c r="M5" s="67"/>
      <c r="N5" s="69" t="s">
        <v>366</v>
      </c>
      <c r="O5" s="65"/>
      <c r="P5" s="67"/>
      <c r="Q5" s="67"/>
    </row>
    <row r="6" spans="1:17" ht="19.5" customHeight="1" thickBot="1">
      <c r="A6" s="551" t="s">
        <v>301</v>
      </c>
      <c r="B6" s="551"/>
      <c r="C6" s="551" t="s">
        <v>51</v>
      </c>
      <c r="D6" s="551" t="s">
        <v>50</v>
      </c>
      <c r="E6" s="551" t="s">
        <v>52</v>
      </c>
      <c r="F6" s="551" t="s">
        <v>53</v>
      </c>
      <c r="G6" s="551" t="s">
        <v>54</v>
      </c>
      <c r="H6" s="551" t="s">
        <v>55</v>
      </c>
      <c r="I6" s="551" t="s">
        <v>56</v>
      </c>
      <c r="J6" s="551" t="s">
        <v>57</v>
      </c>
      <c r="K6" s="551" t="s">
        <v>58</v>
      </c>
      <c r="L6" s="551" t="s">
        <v>59</v>
      </c>
      <c r="M6" s="551" t="s">
        <v>60</v>
      </c>
      <c r="N6" s="551" t="s">
        <v>61</v>
      </c>
      <c r="O6" s="70"/>
      <c r="P6" s="70"/>
      <c r="Q6" s="71"/>
    </row>
    <row r="7" spans="1:17" ht="19.5" customHeight="1" thickBot="1">
      <c r="A7" s="551"/>
      <c r="B7" s="551"/>
      <c r="C7" s="551"/>
      <c r="D7" s="551"/>
      <c r="E7" s="551"/>
      <c r="F7" s="551"/>
      <c r="G7" s="551"/>
      <c r="H7" s="551"/>
      <c r="I7" s="551"/>
      <c r="J7" s="551"/>
      <c r="K7" s="551"/>
      <c r="L7" s="551"/>
      <c r="M7" s="551"/>
      <c r="N7" s="551"/>
      <c r="O7" s="70"/>
      <c r="P7" s="70"/>
      <c r="Q7" s="71"/>
    </row>
    <row r="8" spans="1:17" ht="19.5" customHeight="1" thickBot="1">
      <c r="A8" s="551"/>
      <c r="B8" s="551"/>
      <c r="C8" s="551"/>
      <c r="D8" s="552"/>
      <c r="E8" s="552"/>
      <c r="F8" s="552"/>
      <c r="G8" s="552"/>
      <c r="H8" s="552"/>
      <c r="I8" s="552"/>
      <c r="J8" s="552"/>
      <c r="K8" s="552"/>
      <c r="L8" s="552"/>
      <c r="M8" s="552"/>
      <c r="N8" s="552"/>
      <c r="O8" s="70"/>
      <c r="P8" s="70"/>
      <c r="Q8" s="71"/>
    </row>
    <row r="9" spans="1:17" ht="16.5" customHeight="1" thickBot="1">
      <c r="A9" s="599" t="s">
        <v>62</v>
      </c>
      <c r="B9" s="545" t="s">
        <v>63</v>
      </c>
      <c r="C9" s="547"/>
      <c r="D9" s="598"/>
      <c r="E9" s="598"/>
      <c r="F9" s="598"/>
      <c r="G9" s="598"/>
      <c r="H9" s="598"/>
      <c r="I9" s="598"/>
      <c r="J9" s="598"/>
      <c r="K9" s="598"/>
      <c r="L9" s="598"/>
      <c r="M9" s="598"/>
      <c r="N9" s="598"/>
      <c r="O9" s="598"/>
      <c r="P9" s="598"/>
      <c r="Q9" s="598"/>
    </row>
    <row r="10" spans="1:17" ht="16.5" customHeight="1" thickBot="1">
      <c r="A10" s="600"/>
      <c r="B10" s="553"/>
      <c r="C10" s="595"/>
      <c r="D10" s="589" t="s">
        <v>64</v>
      </c>
      <c r="E10" s="589"/>
      <c r="F10" s="590"/>
      <c r="G10" s="588" t="s">
        <v>65</v>
      </c>
      <c r="H10" s="598"/>
      <c r="I10" s="598"/>
      <c r="J10" s="598"/>
      <c r="K10" s="598"/>
      <c r="L10" s="598"/>
      <c r="M10" s="598"/>
      <c r="N10" s="598"/>
      <c r="O10" s="598"/>
      <c r="P10" s="598"/>
      <c r="Q10" s="598"/>
    </row>
    <row r="11" spans="1:17" ht="18" customHeight="1">
      <c r="A11" s="600"/>
      <c r="B11" s="553"/>
      <c r="C11" s="554"/>
      <c r="D11" s="587">
        <v>2008</v>
      </c>
      <c r="E11" s="604">
        <v>2009</v>
      </c>
      <c r="F11" s="602">
        <v>2010</v>
      </c>
      <c r="G11" s="549" t="s">
        <v>300</v>
      </c>
      <c r="H11" s="607">
        <v>2012</v>
      </c>
      <c r="I11" s="606">
        <v>2013</v>
      </c>
      <c r="J11" s="587">
        <v>2014</v>
      </c>
      <c r="K11" s="587">
        <v>2015</v>
      </c>
      <c r="L11" s="587">
        <v>2016</v>
      </c>
      <c r="M11" s="587">
        <v>2017</v>
      </c>
      <c r="N11" s="587">
        <v>2018</v>
      </c>
      <c r="O11" s="587">
        <v>2019</v>
      </c>
      <c r="P11" s="587">
        <v>2020</v>
      </c>
      <c r="Q11" s="587">
        <v>2021</v>
      </c>
    </row>
    <row r="12" spans="1:17" ht="14.25" customHeight="1" thickBot="1">
      <c r="A12" s="601"/>
      <c r="B12" s="596"/>
      <c r="C12" s="597"/>
      <c r="D12" s="548"/>
      <c r="E12" s="605"/>
      <c r="F12" s="603"/>
      <c r="G12" s="550"/>
      <c r="H12" s="582"/>
      <c r="I12" s="579"/>
      <c r="J12" s="548"/>
      <c r="K12" s="548"/>
      <c r="L12" s="548"/>
      <c r="M12" s="548"/>
      <c r="N12" s="548"/>
      <c r="O12" s="548"/>
      <c r="P12" s="548"/>
      <c r="Q12" s="548"/>
    </row>
    <row r="13" spans="1:17" s="32" customFormat="1" ht="19.5" customHeight="1">
      <c r="A13" s="82">
        <v>1</v>
      </c>
      <c r="B13" s="564" t="s">
        <v>66</v>
      </c>
      <c r="C13" s="565"/>
      <c r="D13" s="88">
        <f>D14+D15</f>
        <v>80916668</v>
      </c>
      <c r="E13" s="88">
        <f>E14+E15</f>
        <v>81699693</v>
      </c>
      <c r="F13" s="93">
        <f>F14+F15</f>
        <v>85095905</v>
      </c>
      <c r="G13" s="439">
        <f>G14+G15</f>
        <v>114278216</v>
      </c>
      <c r="H13" s="455">
        <f>H14+H15</f>
        <v>176727846</v>
      </c>
      <c r="I13" s="449">
        <f aca="true" t="shared" si="0" ref="I13:Q13">I14+I15</f>
        <v>167658534</v>
      </c>
      <c r="J13" s="88">
        <f t="shared" si="0"/>
        <v>114730586</v>
      </c>
      <c r="K13" s="438">
        <f t="shared" si="0"/>
        <v>129258338</v>
      </c>
      <c r="L13" s="88">
        <f t="shared" si="0"/>
        <v>124848430</v>
      </c>
      <c r="M13" s="88">
        <f t="shared" si="0"/>
        <v>129078216</v>
      </c>
      <c r="N13" s="88">
        <f t="shared" si="0"/>
        <v>134530581</v>
      </c>
      <c r="O13" s="88">
        <f t="shared" si="0"/>
        <v>139658756</v>
      </c>
      <c r="P13" s="88">
        <f t="shared" si="0"/>
        <v>143547325</v>
      </c>
      <c r="Q13" s="88">
        <f t="shared" si="0"/>
        <v>146658641</v>
      </c>
    </row>
    <row r="14" spans="1:17" ht="19.5" customHeight="1">
      <c r="A14" s="83" t="s">
        <v>67</v>
      </c>
      <c r="B14" s="562" t="s">
        <v>68</v>
      </c>
      <c r="C14" s="563"/>
      <c r="D14" s="85">
        <v>80901768</v>
      </c>
      <c r="E14" s="85">
        <v>80665439</v>
      </c>
      <c r="F14" s="95">
        <v>84339995</v>
      </c>
      <c r="G14" s="440">
        <v>98522397</v>
      </c>
      <c r="H14" s="456">
        <v>104265432</v>
      </c>
      <c r="I14" s="464">
        <v>110396033</v>
      </c>
      <c r="J14" s="86">
        <v>114730586</v>
      </c>
      <c r="K14" s="85">
        <v>120258338</v>
      </c>
      <c r="L14" s="85">
        <v>124848430</v>
      </c>
      <c r="M14" s="85">
        <v>129078216</v>
      </c>
      <c r="N14" s="85">
        <v>134530581</v>
      </c>
      <c r="O14" s="85">
        <v>139658756</v>
      </c>
      <c r="P14" s="85">
        <v>143547325</v>
      </c>
      <c r="Q14" s="85">
        <v>146658641</v>
      </c>
    </row>
    <row r="15" spans="1:17" ht="19.5" customHeight="1">
      <c r="A15" s="83" t="s">
        <v>69</v>
      </c>
      <c r="B15" s="562" t="s">
        <v>70</v>
      </c>
      <c r="C15" s="563"/>
      <c r="D15" s="85">
        <v>14900</v>
      </c>
      <c r="E15" s="85">
        <v>1034254</v>
      </c>
      <c r="F15" s="95">
        <v>755910</v>
      </c>
      <c r="G15" s="440">
        <v>15755819</v>
      </c>
      <c r="H15" s="456">
        <v>72462414</v>
      </c>
      <c r="I15" s="464">
        <v>57262501</v>
      </c>
      <c r="J15" s="86"/>
      <c r="K15" s="85">
        <v>9000000</v>
      </c>
      <c r="L15" s="85">
        <f>L16</f>
        <v>0</v>
      </c>
      <c r="M15" s="85">
        <f>M16</f>
        <v>0</v>
      </c>
      <c r="N15" s="86">
        <v>0</v>
      </c>
      <c r="O15" s="85">
        <f>O16</f>
        <v>0</v>
      </c>
      <c r="P15" s="85"/>
      <c r="Q15" s="85"/>
    </row>
    <row r="16" spans="1:17" ht="20.25" customHeight="1">
      <c r="A16" s="83" t="s">
        <v>71</v>
      </c>
      <c r="B16" s="97" t="s">
        <v>72</v>
      </c>
      <c r="C16" s="434" t="s">
        <v>73</v>
      </c>
      <c r="D16" s="85">
        <v>0</v>
      </c>
      <c r="E16" s="85">
        <v>197354</v>
      </c>
      <c r="F16" s="95">
        <v>255910</v>
      </c>
      <c r="G16" s="440">
        <v>13500000</v>
      </c>
      <c r="H16" s="456">
        <v>52000000</v>
      </c>
      <c r="I16" s="465">
        <v>26150000</v>
      </c>
      <c r="J16" s="86"/>
      <c r="K16" s="86"/>
      <c r="L16" s="86">
        <v>0</v>
      </c>
      <c r="M16" s="86">
        <v>0</v>
      </c>
      <c r="N16" s="86">
        <v>0</v>
      </c>
      <c r="O16" s="86">
        <v>0</v>
      </c>
      <c r="P16" s="86"/>
      <c r="Q16" s="86"/>
    </row>
    <row r="17" spans="1:17" ht="54.75" customHeight="1">
      <c r="A17" s="87">
        <v>2</v>
      </c>
      <c r="B17" s="592" t="s">
        <v>74</v>
      </c>
      <c r="C17" s="593"/>
      <c r="D17" s="88">
        <v>63400831</v>
      </c>
      <c r="E17" s="88">
        <v>71551205</v>
      </c>
      <c r="F17" s="93">
        <v>76029699</v>
      </c>
      <c r="G17" s="439">
        <v>88000247</v>
      </c>
      <c r="H17" s="455">
        <v>99779679</v>
      </c>
      <c r="I17" s="449">
        <v>82020230</v>
      </c>
      <c r="J17" s="88">
        <v>82730732</v>
      </c>
      <c r="K17" s="88">
        <v>82337332</v>
      </c>
      <c r="L17" s="88">
        <v>97905924</v>
      </c>
      <c r="M17" s="88">
        <v>100364353</v>
      </c>
      <c r="N17" s="88">
        <v>104926222</v>
      </c>
      <c r="O17" s="88">
        <v>105712332</v>
      </c>
      <c r="P17" s="88">
        <v>110641024</v>
      </c>
      <c r="Q17" s="88">
        <v>113939185</v>
      </c>
    </row>
    <row r="18" spans="1:17" ht="24.75" customHeight="1">
      <c r="A18" s="83" t="s">
        <v>67</v>
      </c>
      <c r="B18" s="594" t="s">
        <v>72</v>
      </c>
      <c r="C18" s="435" t="s">
        <v>75</v>
      </c>
      <c r="D18" s="85">
        <v>21925321.76</v>
      </c>
      <c r="E18" s="85">
        <v>25712119</v>
      </c>
      <c r="F18" s="95">
        <v>28031630</v>
      </c>
      <c r="G18" s="440">
        <v>31812111</v>
      </c>
      <c r="H18" s="456">
        <v>38527723</v>
      </c>
      <c r="I18" s="464">
        <f aca="true" t="shared" si="1" ref="I18:O18">H18*102%</f>
        <v>39298277.46</v>
      </c>
      <c r="J18" s="86">
        <f t="shared" si="1"/>
        <v>40084243.0092</v>
      </c>
      <c r="K18" s="85">
        <f t="shared" si="1"/>
        <v>40885927.869384</v>
      </c>
      <c r="L18" s="85">
        <f t="shared" si="1"/>
        <v>41703646.42677168</v>
      </c>
      <c r="M18" s="85">
        <f t="shared" si="1"/>
        <v>42537719.35530711</v>
      </c>
      <c r="N18" s="85">
        <f t="shared" si="1"/>
        <v>43388473.74241325</v>
      </c>
      <c r="O18" s="85">
        <f t="shared" si="1"/>
        <v>44256243.217261516</v>
      </c>
      <c r="P18" s="85">
        <f>N18*102%</f>
        <v>44256243.217261516</v>
      </c>
      <c r="Q18" s="85">
        <f>O18*102%</f>
        <v>45141368.081606746</v>
      </c>
    </row>
    <row r="19" spans="1:17" ht="24.75" customHeight="1">
      <c r="A19" s="83" t="s">
        <v>69</v>
      </c>
      <c r="B19" s="594"/>
      <c r="C19" s="435" t="s">
        <v>76</v>
      </c>
      <c r="D19" s="85">
        <v>6959371</v>
      </c>
      <c r="E19" s="85">
        <v>7561065</v>
      </c>
      <c r="F19" s="95">
        <v>8358243</v>
      </c>
      <c r="G19" s="440">
        <v>9944058</v>
      </c>
      <c r="H19" s="456">
        <v>11509600</v>
      </c>
      <c r="I19" s="464">
        <v>7950000</v>
      </c>
      <c r="J19" s="86">
        <v>7980000</v>
      </c>
      <c r="K19" s="85">
        <v>8010000</v>
      </c>
      <c r="L19" s="85">
        <v>8170200</v>
      </c>
      <c r="M19" s="85">
        <f>L19*102%</f>
        <v>8333604</v>
      </c>
      <c r="N19" s="85">
        <f>M19*102%</f>
        <v>8500276.08</v>
      </c>
      <c r="O19" s="85">
        <f>N19*102%</f>
        <v>8670281.6016</v>
      </c>
      <c r="P19" s="85">
        <f>N19*102%</f>
        <v>8670281.6016</v>
      </c>
      <c r="Q19" s="85">
        <f>O19*102%</f>
        <v>8843687.233632</v>
      </c>
    </row>
    <row r="20" spans="1:17" ht="20.25" customHeight="1">
      <c r="A20" s="83" t="s">
        <v>77</v>
      </c>
      <c r="B20" s="594"/>
      <c r="C20" s="435" t="s">
        <v>78</v>
      </c>
      <c r="D20" s="85">
        <v>0</v>
      </c>
      <c r="E20" s="85">
        <v>0</v>
      </c>
      <c r="F20" s="95">
        <v>0</v>
      </c>
      <c r="G20" s="463">
        <v>0</v>
      </c>
      <c r="H20" s="461"/>
      <c r="I20" s="453">
        <v>0</v>
      </c>
      <c r="J20" s="84"/>
      <c r="K20" s="84"/>
      <c r="L20" s="84"/>
      <c r="M20" s="84"/>
      <c r="N20" s="84"/>
      <c r="O20" s="84"/>
      <c r="P20" s="84"/>
      <c r="Q20" s="84"/>
    </row>
    <row r="21" spans="1:17" ht="35.25" customHeight="1">
      <c r="A21" s="83" t="s">
        <v>71</v>
      </c>
      <c r="B21" s="594"/>
      <c r="C21" s="435" t="s">
        <v>79</v>
      </c>
      <c r="D21" s="84">
        <v>0</v>
      </c>
      <c r="E21" s="84">
        <v>0</v>
      </c>
      <c r="F21" s="95">
        <v>0</v>
      </c>
      <c r="G21" s="463">
        <v>0</v>
      </c>
      <c r="H21" s="461">
        <v>0</v>
      </c>
      <c r="I21" s="453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</row>
    <row r="22" spans="1:17" ht="31.5">
      <c r="A22" s="83" t="s">
        <v>80</v>
      </c>
      <c r="B22" s="594"/>
      <c r="C22" s="435" t="s">
        <v>81</v>
      </c>
      <c r="D22" s="85" t="s">
        <v>82</v>
      </c>
      <c r="E22" s="85" t="s">
        <v>82</v>
      </c>
      <c r="F22" s="95" t="s">
        <v>82</v>
      </c>
      <c r="G22" s="440">
        <v>1309987</v>
      </c>
      <c r="H22" s="456">
        <f>'Wykaz przedsięwzięć'!L13</f>
        <v>10486215</v>
      </c>
      <c r="I22" s="465">
        <f>'Wykaz przedsięwzięć'!M94</f>
        <v>4989983</v>
      </c>
      <c r="J22" s="86">
        <f>'Wykaz przedsięwzięć'!N94</f>
        <v>4502599</v>
      </c>
      <c r="K22" s="86">
        <f>'Wykaz przedsięwzięć'!O94</f>
        <v>2421310</v>
      </c>
      <c r="L22" s="86">
        <f>'Wykaz przedsięwzięć'!P94</f>
        <v>2298490</v>
      </c>
      <c r="M22" s="86">
        <v>0</v>
      </c>
      <c r="N22" s="86">
        <v>0</v>
      </c>
      <c r="O22" s="86">
        <v>0</v>
      </c>
      <c r="P22" s="86">
        <v>0</v>
      </c>
      <c r="Q22" s="86">
        <v>0</v>
      </c>
    </row>
    <row r="23" spans="1:17" ht="38.25" customHeight="1">
      <c r="A23" s="90">
        <v>3</v>
      </c>
      <c r="B23" s="568" t="s">
        <v>83</v>
      </c>
      <c r="C23" s="557"/>
      <c r="D23" s="91">
        <f aca="true" t="shared" si="2" ref="D23:Q23">D13-D17</f>
        <v>17515837</v>
      </c>
      <c r="E23" s="91">
        <f t="shared" si="2"/>
        <v>10148488</v>
      </c>
      <c r="F23" s="93">
        <f>F13-F17</f>
        <v>9066206</v>
      </c>
      <c r="G23" s="439">
        <f t="shared" si="2"/>
        <v>26277969</v>
      </c>
      <c r="H23" s="455">
        <f>H13-H17</f>
        <v>76948167</v>
      </c>
      <c r="I23" s="446">
        <f t="shared" si="2"/>
        <v>85638304</v>
      </c>
      <c r="J23" s="88">
        <f t="shared" si="2"/>
        <v>31999854</v>
      </c>
      <c r="K23" s="91">
        <f>K13-K17</f>
        <v>46921006</v>
      </c>
      <c r="L23" s="91">
        <f t="shared" si="2"/>
        <v>26942506</v>
      </c>
      <c r="M23" s="91">
        <f t="shared" si="2"/>
        <v>28713863</v>
      </c>
      <c r="N23" s="91">
        <f t="shared" si="2"/>
        <v>29604359</v>
      </c>
      <c r="O23" s="91">
        <f t="shared" si="2"/>
        <v>33946424</v>
      </c>
      <c r="P23" s="91">
        <f>P13-P17</f>
        <v>32906301</v>
      </c>
      <c r="Q23" s="91">
        <f t="shared" si="2"/>
        <v>32719456</v>
      </c>
    </row>
    <row r="24" spans="1:17" ht="39.75" customHeight="1">
      <c r="A24" s="90">
        <v>4</v>
      </c>
      <c r="B24" s="568" t="s">
        <v>84</v>
      </c>
      <c r="C24" s="557"/>
      <c r="D24" s="92">
        <v>19854380</v>
      </c>
      <c r="E24" s="92">
        <v>3719761</v>
      </c>
      <c r="F24" s="93">
        <v>1245475</v>
      </c>
      <c r="G24" s="442">
        <v>427077</v>
      </c>
      <c r="H24" s="458">
        <f>H25</f>
        <v>35040</v>
      </c>
      <c r="I24" s="448">
        <v>0</v>
      </c>
      <c r="J24" s="93">
        <v>0</v>
      </c>
      <c r="K24" s="93">
        <v>0</v>
      </c>
      <c r="L24" s="93">
        <v>0</v>
      </c>
      <c r="M24" s="93">
        <v>0</v>
      </c>
      <c r="N24" s="93">
        <v>0</v>
      </c>
      <c r="O24" s="93">
        <v>0</v>
      </c>
      <c r="P24" s="93">
        <v>0</v>
      </c>
      <c r="Q24" s="93">
        <v>0</v>
      </c>
    </row>
    <row r="25" spans="1:17" ht="51" customHeight="1">
      <c r="A25" s="83" t="s">
        <v>67</v>
      </c>
      <c r="B25" s="94" t="s">
        <v>72</v>
      </c>
      <c r="C25" s="436" t="s">
        <v>85</v>
      </c>
      <c r="D25" s="84">
        <v>14712619</v>
      </c>
      <c r="E25" s="84">
        <v>0</v>
      </c>
      <c r="F25" s="95"/>
      <c r="G25" s="463">
        <v>375492</v>
      </c>
      <c r="H25" s="461">
        <v>35040</v>
      </c>
      <c r="I25" s="466">
        <v>0</v>
      </c>
      <c r="J25" s="95">
        <v>0</v>
      </c>
      <c r="K25" s="95">
        <v>0</v>
      </c>
      <c r="L25" s="95">
        <v>0</v>
      </c>
      <c r="M25" s="95">
        <v>0</v>
      </c>
      <c r="N25" s="95">
        <v>0</v>
      </c>
      <c r="O25" s="95">
        <v>0</v>
      </c>
      <c r="P25" s="95">
        <v>0</v>
      </c>
      <c r="Q25" s="95">
        <v>0</v>
      </c>
    </row>
    <row r="26" spans="1:17" ht="33.75" customHeight="1">
      <c r="A26" s="90">
        <v>5</v>
      </c>
      <c r="B26" s="568" t="s">
        <v>86</v>
      </c>
      <c r="C26" s="557"/>
      <c r="D26" s="92">
        <v>0</v>
      </c>
      <c r="E26" s="91">
        <v>0</v>
      </c>
      <c r="F26" s="93">
        <v>0</v>
      </c>
      <c r="G26" s="439">
        <v>0</v>
      </c>
      <c r="H26" s="455">
        <v>0</v>
      </c>
      <c r="I26" s="446">
        <v>0</v>
      </c>
      <c r="J26" s="88">
        <v>0</v>
      </c>
      <c r="K26" s="91">
        <v>0</v>
      </c>
      <c r="L26" s="91">
        <v>0</v>
      </c>
      <c r="M26" s="91">
        <v>0</v>
      </c>
      <c r="N26" s="91">
        <v>0</v>
      </c>
      <c r="O26" s="91">
        <v>0</v>
      </c>
      <c r="P26" s="91">
        <v>0</v>
      </c>
      <c r="Q26" s="91">
        <v>0</v>
      </c>
    </row>
    <row r="27" spans="1:17" ht="20.25" customHeight="1">
      <c r="A27" s="90">
        <v>6</v>
      </c>
      <c r="B27" s="568" t="s">
        <v>87</v>
      </c>
      <c r="C27" s="557"/>
      <c r="D27" s="91">
        <f aca="true" t="shared" si="3" ref="D27:Q27">D23+D24+D26</f>
        <v>37370217</v>
      </c>
      <c r="E27" s="91">
        <f t="shared" si="3"/>
        <v>13868249</v>
      </c>
      <c r="F27" s="93">
        <f>F23+F24+F26</f>
        <v>10311681</v>
      </c>
      <c r="G27" s="439">
        <f>G23+G24+G26</f>
        <v>26705046</v>
      </c>
      <c r="H27" s="455">
        <f>H23+H24+H26</f>
        <v>76983207</v>
      </c>
      <c r="I27" s="446">
        <f t="shared" si="3"/>
        <v>85638304</v>
      </c>
      <c r="J27" s="88">
        <f t="shared" si="3"/>
        <v>31999854</v>
      </c>
      <c r="K27" s="91">
        <f>K23+K24+K26</f>
        <v>46921006</v>
      </c>
      <c r="L27" s="91">
        <f t="shared" si="3"/>
        <v>26942506</v>
      </c>
      <c r="M27" s="91">
        <f t="shared" si="3"/>
        <v>28713863</v>
      </c>
      <c r="N27" s="91">
        <f t="shared" si="3"/>
        <v>29604359</v>
      </c>
      <c r="O27" s="91">
        <f t="shared" si="3"/>
        <v>33946424</v>
      </c>
      <c r="P27" s="91">
        <f t="shared" si="3"/>
        <v>32906301</v>
      </c>
      <c r="Q27" s="91">
        <f t="shared" si="3"/>
        <v>32719456</v>
      </c>
    </row>
    <row r="28" spans="1:17" ht="20.25" customHeight="1">
      <c r="A28" s="90">
        <v>7</v>
      </c>
      <c r="B28" s="568" t="s">
        <v>88</v>
      </c>
      <c r="C28" s="557"/>
      <c r="D28" s="92">
        <f aca="true" t="shared" si="4" ref="D28:Q28">D29+D33</f>
        <v>1883950</v>
      </c>
      <c r="E28" s="92">
        <f t="shared" si="4"/>
        <v>4502192</v>
      </c>
      <c r="F28" s="93">
        <f>F29+F33</f>
        <v>9065858</v>
      </c>
      <c r="G28" s="442">
        <f t="shared" si="4"/>
        <v>6883561</v>
      </c>
      <c r="H28" s="458">
        <v>9232930</v>
      </c>
      <c r="I28" s="452">
        <f t="shared" si="4"/>
        <v>10436843</v>
      </c>
      <c r="J28" s="93">
        <f t="shared" si="4"/>
        <v>9859854</v>
      </c>
      <c r="K28" s="92">
        <f t="shared" si="4"/>
        <v>8621006</v>
      </c>
      <c r="L28" s="92">
        <f t="shared" si="4"/>
        <v>8442506</v>
      </c>
      <c r="M28" s="92">
        <f t="shared" si="4"/>
        <v>8713863</v>
      </c>
      <c r="N28" s="92">
        <f t="shared" si="4"/>
        <v>6604359.26</v>
      </c>
      <c r="O28" s="92">
        <f t="shared" si="4"/>
        <v>8446423.54</v>
      </c>
      <c r="P28" s="92">
        <f t="shared" si="4"/>
        <v>6906301.43</v>
      </c>
      <c r="Q28" s="92">
        <f t="shared" si="4"/>
        <v>4719456.3225</v>
      </c>
    </row>
    <row r="29" spans="1:18" s="19" customFormat="1" ht="36" customHeight="1">
      <c r="A29" s="96" t="s">
        <v>67</v>
      </c>
      <c r="B29" s="560" t="s">
        <v>89</v>
      </c>
      <c r="C29" s="559"/>
      <c r="D29" s="86">
        <v>1422000</v>
      </c>
      <c r="E29" s="86">
        <v>3463314</v>
      </c>
      <c r="F29" s="95">
        <v>6940085</v>
      </c>
      <c r="G29" s="440">
        <v>4551585</v>
      </c>
      <c r="H29" s="456">
        <f>SUM(H30:H32)</f>
        <v>6935040</v>
      </c>
      <c r="I29" s="465">
        <f>SUM(I30:I32)</f>
        <v>7266899</v>
      </c>
      <c r="J29" s="86">
        <f aca="true" t="shared" si="5" ref="J29:Q29">SUM(J30:J32)</f>
        <v>7106453</v>
      </c>
      <c r="K29" s="86">
        <f t="shared" si="5"/>
        <v>6150000</v>
      </c>
      <c r="L29" s="86">
        <f t="shared" si="5"/>
        <v>6250000</v>
      </c>
      <c r="M29" s="86">
        <f t="shared" si="5"/>
        <v>6801170</v>
      </c>
      <c r="N29" s="86">
        <f t="shared" si="5"/>
        <v>5062028</v>
      </c>
      <c r="O29" s="86">
        <f t="shared" si="5"/>
        <v>7350523</v>
      </c>
      <c r="P29" s="86">
        <f t="shared" si="5"/>
        <v>6300000</v>
      </c>
      <c r="Q29" s="86">
        <f t="shared" si="5"/>
        <v>4523949</v>
      </c>
      <c r="R29" s="30"/>
    </row>
    <row r="30" spans="1:18" s="19" customFormat="1" ht="19.5" customHeight="1">
      <c r="A30" s="96"/>
      <c r="B30" s="561" t="s">
        <v>72</v>
      </c>
      <c r="C30" s="437" t="s">
        <v>90</v>
      </c>
      <c r="D30" s="86">
        <v>1422000</v>
      </c>
      <c r="E30" s="86">
        <v>2963314</v>
      </c>
      <c r="F30" s="95">
        <v>3340085</v>
      </c>
      <c r="G30" s="440">
        <v>2141585</v>
      </c>
      <c r="H30" s="456">
        <f>Arkusz5!J9</f>
        <v>3535040</v>
      </c>
      <c r="I30" s="465">
        <f>Arkusz5!J13</f>
        <v>3666899</v>
      </c>
      <c r="J30" s="86">
        <f>Arkusz5!J17</f>
        <v>3506453</v>
      </c>
      <c r="K30" s="86">
        <f>Arkusz5!J21</f>
        <v>2550000</v>
      </c>
      <c r="L30" s="86">
        <f>Arkusz5!J25</f>
        <v>2550000</v>
      </c>
      <c r="M30" s="86">
        <f>Arkusz5!J29</f>
        <v>2401170</v>
      </c>
      <c r="N30" s="86">
        <f>Arkusz5!J33</f>
        <v>62028</v>
      </c>
      <c r="O30" s="86">
        <f>Arkusz5!J37</f>
        <v>750523</v>
      </c>
      <c r="P30" s="86">
        <f>Arkusz5!J41</f>
        <v>600000</v>
      </c>
      <c r="Q30" s="86">
        <f>Arkusz5!J45</f>
        <v>423949</v>
      </c>
      <c r="R30" s="30"/>
    </row>
    <row r="31" spans="1:18" s="19" customFormat="1" ht="19.5" customHeight="1">
      <c r="A31" s="96"/>
      <c r="B31" s="561"/>
      <c r="C31" s="437" t="s">
        <v>91</v>
      </c>
      <c r="D31" s="86"/>
      <c r="E31" s="86">
        <v>500000</v>
      </c>
      <c r="F31" s="95">
        <v>3600000</v>
      </c>
      <c r="G31" s="440">
        <v>410000</v>
      </c>
      <c r="H31" s="456">
        <v>400000</v>
      </c>
      <c r="I31" s="465">
        <v>600000</v>
      </c>
      <c r="J31" s="86">
        <v>600000</v>
      </c>
      <c r="K31" s="86">
        <v>600000</v>
      </c>
      <c r="L31" s="86">
        <v>700000</v>
      </c>
      <c r="M31" s="86">
        <v>1400000</v>
      </c>
      <c r="N31" s="86"/>
      <c r="O31" s="86"/>
      <c r="P31" s="86"/>
      <c r="Q31" s="86"/>
      <c r="R31" s="30"/>
    </row>
    <row r="32" spans="1:18" s="19" customFormat="1" ht="19.5" customHeight="1">
      <c r="A32" s="96"/>
      <c r="B32" s="561"/>
      <c r="C32" s="437" t="s">
        <v>92</v>
      </c>
      <c r="D32" s="86"/>
      <c r="E32" s="86"/>
      <c r="F32" s="95"/>
      <c r="G32" s="440">
        <v>2000000</v>
      </c>
      <c r="H32" s="456">
        <f>'spł obligacji'!J9</f>
        <v>3000000</v>
      </c>
      <c r="I32" s="465">
        <f>'spł obligacji'!J13</f>
        <v>3000000</v>
      </c>
      <c r="J32" s="86">
        <f>'spł obligacji'!J17</f>
        <v>3000000</v>
      </c>
      <c r="K32" s="86">
        <f>'spł obligacji'!J21</f>
        <v>3000000</v>
      </c>
      <c r="L32" s="86">
        <f>'spł obligacji'!J25</f>
        <v>3000000</v>
      </c>
      <c r="M32" s="86">
        <f>'spł obligacji'!J29</f>
        <v>3000000</v>
      </c>
      <c r="N32" s="86">
        <f>'spł obligacji'!J33</f>
        <v>5000000</v>
      </c>
      <c r="O32" s="86">
        <f>'spł obligacji'!J37</f>
        <v>6600000</v>
      </c>
      <c r="P32" s="86">
        <f>'spł obligacji'!J41</f>
        <v>5700000</v>
      </c>
      <c r="Q32" s="86">
        <f>'spł obligacji'!J45</f>
        <v>4100000</v>
      </c>
      <c r="R32" s="30"/>
    </row>
    <row r="33" spans="1:17" ht="20.25" customHeight="1">
      <c r="A33" s="83" t="s">
        <v>69</v>
      </c>
      <c r="B33" s="562" t="s">
        <v>93</v>
      </c>
      <c r="C33" s="563"/>
      <c r="D33" s="85">
        <v>461950</v>
      </c>
      <c r="E33" s="85">
        <v>1038878</v>
      </c>
      <c r="F33" s="95">
        <v>2125773</v>
      </c>
      <c r="G33" s="440">
        <v>2331976</v>
      </c>
      <c r="H33" s="456">
        <f>Arkusz5!K9+'spł obligacji'!K4+161250</f>
        <v>2297890</v>
      </c>
      <c r="I33" s="464">
        <f>'spł obligacji'!K13+Arkusz5!K13+146250</f>
        <v>3169944</v>
      </c>
      <c r="J33" s="86">
        <f>'spł obligacji'!K17+Arkusz5!K17+123750</f>
        <v>2753401</v>
      </c>
      <c r="K33" s="85">
        <f>'spł obligacji'!K21+Arkusz5!K21+101250</f>
        <v>2471006</v>
      </c>
      <c r="L33" s="85">
        <f>'spł obligacji'!K25+Arkusz5!K25+78750</f>
        <v>2192506</v>
      </c>
      <c r="M33" s="85">
        <f>'spł obligacji'!K29+Arkusz5!K29+52500</f>
        <v>1912693.0000000002</v>
      </c>
      <c r="N33" s="85">
        <f>'spł obligacji'!K33+Arkusz5!K33</f>
        <v>1542331.2600000002</v>
      </c>
      <c r="O33" s="85">
        <f>'spł obligacji'!K37+Arkusz5!K37</f>
        <v>1095900.54</v>
      </c>
      <c r="P33" s="85">
        <f>Arkusz5!K41+'spł obligacji'!K41</f>
        <v>606301.43</v>
      </c>
      <c r="Q33" s="85">
        <f>'spł obligacji'!K45+Arkusz5!K45</f>
        <v>195507.32250000004</v>
      </c>
    </row>
    <row r="34" spans="1:17" ht="20.25" customHeight="1">
      <c r="A34" s="90">
        <v>8</v>
      </c>
      <c r="B34" s="568" t="s">
        <v>94</v>
      </c>
      <c r="C34" s="557"/>
      <c r="D34" s="91">
        <v>0</v>
      </c>
      <c r="E34" s="91">
        <v>0</v>
      </c>
      <c r="F34" s="93">
        <v>40000</v>
      </c>
      <c r="G34" s="439">
        <v>0</v>
      </c>
      <c r="H34" s="455">
        <v>0</v>
      </c>
      <c r="I34" s="446">
        <v>0</v>
      </c>
      <c r="J34" s="88">
        <v>0</v>
      </c>
      <c r="K34" s="91">
        <v>0</v>
      </c>
      <c r="L34" s="91">
        <v>0</v>
      </c>
      <c r="M34" s="91">
        <v>0</v>
      </c>
      <c r="N34" s="91">
        <v>0</v>
      </c>
      <c r="O34" s="91">
        <v>0</v>
      </c>
      <c r="P34" s="91">
        <v>0</v>
      </c>
      <c r="Q34" s="91">
        <v>0</v>
      </c>
    </row>
    <row r="35" spans="1:17" ht="37.5" customHeight="1">
      <c r="A35" s="87">
        <v>9</v>
      </c>
      <c r="B35" s="592" t="s">
        <v>216</v>
      </c>
      <c r="C35" s="593"/>
      <c r="D35" s="88">
        <f aca="true" t="shared" si="6" ref="D35:N35">D27-D28-D34</f>
        <v>35486267</v>
      </c>
      <c r="E35" s="88">
        <f t="shared" si="6"/>
        <v>9366057</v>
      </c>
      <c r="F35" s="93">
        <f>F27-F28-F34</f>
        <v>1205823</v>
      </c>
      <c r="G35" s="439">
        <f>G27-G28-G34</f>
        <v>19821485</v>
      </c>
      <c r="H35" s="455">
        <f>H27-H28-H34</f>
        <v>67750277</v>
      </c>
      <c r="I35" s="449">
        <f>I27-I28-I34</f>
        <v>75201461</v>
      </c>
      <c r="J35" s="88">
        <f t="shared" si="6"/>
        <v>22140000</v>
      </c>
      <c r="K35" s="88">
        <f t="shared" si="6"/>
        <v>38300000</v>
      </c>
      <c r="L35" s="88">
        <f t="shared" si="6"/>
        <v>18500000</v>
      </c>
      <c r="M35" s="88">
        <f t="shared" si="6"/>
        <v>20000000</v>
      </c>
      <c r="N35" s="88">
        <f t="shared" si="6"/>
        <v>22999999.740000002</v>
      </c>
      <c r="O35" s="88">
        <f>O27-O28-O34</f>
        <v>25500000.46</v>
      </c>
      <c r="P35" s="88">
        <f>P36</f>
        <v>26000000</v>
      </c>
      <c r="Q35" s="88">
        <f>Q36</f>
        <v>28000000</v>
      </c>
    </row>
    <row r="36" spans="1:17" ht="20.25" customHeight="1">
      <c r="A36" s="87">
        <v>10</v>
      </c>
      <c r="B36" s="592" t="s">
        <v>95</v>
      </c>
      <c r="C36" s="593"/>
      <c r="D36" s="88">
        <v>43312675.57</v>
      </c>
      <c r="E36" s="88">
        <v>33260582</v>
      </c>
      <c r="F36" s="93">
        <v>9778746</v>
      </c>
      <c r="G36" s="439">
        <v>33421485</v>
      </c>
      <c r="H36" s="455">
        <v>74650277</v>
      </c>
      <c r="I36" s="449">
        <f>I37</f>
        <v>75201461</v>
      </c>
      <c r="J36" s="88">
        <f>J37</f>
        <v>22140000</v>
      </c>
      <c r="K36" s="88">
        <f>K37</f>
        <v>38300000</v>
      </c>
      <c r="L36" s="88">
        <v>18500000</v>
      </c>
      <c r="M36" s="88">
        <v>20000000</v>
      </c>
      <c r="N36" s="88">
        <v>23000000</v>
      </c>
      <c r="O36" s="88">
        <v>25500000</v>
      </c>
      <c r="P36" s="88">
        <v>26000000</v>
      </c>
      <c r="Q36" s="88">
        <v>28000000</v>
      </c>
    </row>
    <row r="37" spans="1:17" ht="36" customHeight="1">
      <c r="A37" s="83" t="s">
        <v>67</v>
      </c>
      <c r="B37" s="97" t="s">
        <v>72</v>
      </c>
      <c r="C37" s="435" t="s">
        <v>96</v>
      </c>
      <c r="D37" s="85" t="s">
        <v>82</v>
      </c>
      <c r="E37" s="85" t="s">
        <v>82</v>
      </c>
      <c r="F37" s="95" t="s">
        <v>82</v>
      </c>
      <c r="G37" s="440">
        <v>10341509</v>
      </c>
      <c r="H37" s="456">
        <f>'Wykaz przedsięwzięć'!L15</f>
        <v>61676283</v>
      </c>
      <c r="I37" s="465">
        <f>'Wykaz przedsięwzięć'!M14</f>
        <v>75201461</v>
      </c>
      <c r="J37" s="86">
        <f>'Wykaz przedsięwzięć'!N15</f>
        <v>22140000</v>
      </c>
      <c r="K37" s="86">
        <f>'Wykaz przedsięwzięć'!O15</f>
        <v>38300000</v>
      </c>
      <c r="L37" s="86">
        <f>'Wykaz przedsięwzięć'!P15</f>
        <v>1000000</v>
      </c>
      <c r="M37" s="86"/>
      <c r="N37" s="86"/>
      <c r="O37" s="86"/>
      <c r="P37" s="86"/>
      <c r="Q37" s="86"/>
    </row>
    <row r="38" spans="1:17" ht="15">
      <c r="A38" s="98"/>
      <c r="B38" s="99"/>
      <c r="C38" s="100"/>
      <c r="D38" s="101"/>
      <c r="E38" s="101"/>
      <c r="F38" s="233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</row>
    <row r="39" spans="1:17" ht="30" customHeight="1">
      <c r="A39" s="103"/>
      <c r="B39" s="104"/>
      <c r="C39" s="105"/>
      <c r="D39" s="106"/>
      <c r="E39" s="106"/>
      <c r="F39" s="234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</row>
    <row r="40" spans="1:17" ht="30" customHeight="1">
      <c r="A40" s="103"/>
      <c r="B40" s="104"/>
      <c r="C40" s="105"/>
      <c r="D40" s="106"/>
      <c r="E40" s="106"/>
      <c r="F40" s="234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</row>
    <row r="41" spans="1:17" ht="37.5" customHeight="1">
      <c r="A41" s="103"/>
      <c r="B41" s="104"/>
      <c r="C41" s="105"/>
      <c r="D41" s="106"/>
      <c r="E41" s="106"/>
      <c r="F41" s="234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</row>
    <row r="42" spans="1:17" ht="38.25" customHeight="1">
      <c r="A42" s="103"/>
      <c r="B42" s="104"/>
      <c r="C42" s="105"/>
      <c r="D42" s="106"/>
      <c r="E42" s="106"/>
      <c r="F42" s="234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</row>
    <row r="43" spans="1:17" ht="27" customHeight="1">
      <c r="A43" s="103"/>
      <c r="B43" s="104"/>
      <c r="C43" s="105"/>
      <c r="D43" s="106"/>
      <c r="E43" s="106"/>
      <c r="F43" s="234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</row>
    <row r="44" spans="1:17" ht="28.5" customHeight="1">
      <c r="A44" s="103"/>
      <c r="B44" s="104"/>
      <c r="C44" s="105"/>
      <c r="D44" s="106"/>
      <c r="E44" s="106"/>
      <c r="F44" s="234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</row>
    <row r="45" spans="1:17" ht="15">
      <c r="A45" s="103"/>
      <c r="B45" s="104"/>
      <c r="C45" s="105"/>
      <c r="D45" s="106"/>
      <c r="E45" s="106"/>
      <c r="F45" s="234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</row>
    <row r="46" spans="1:17" ht="18" customHeight="1">
      <c r="A46" s="103"/>
      <c r="B46" s="104"/>
      <c r="C46" s="105"/>
      <c r="D46" s="106"/>
      <c r="E46" s="106"/>
      <c r="F46" s="234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</row>
    <row r="47" spans="1:17" ht="6.75" customHeight="1" thickBot="1">
      <c r="A47" s="103"/>
      <c r="B47" s="104"/>
      <c r="C47" s="105"/>
      <c r="D47" s="106"/>
      <c r="E47" s="106"/>
      <c r="F47" s="23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</row>
    <row r="48" spans="1:17" ht="14.25" customHeight="1" thickBot="1">
      <c r="A48" s="571" t="s">
        <v>62</v>
      </c>
      <c r="B48" s="591" t="s">
        <v>63</v>
      </c>
      <c r="C48" s="591"/>
      <c r="D48" s="588"/>
      <c r="E48" s="589"/>
      <c r="F48" s="589"/>
      <c r="G48" s="589"/>
      <c r="H48" s="589"/>
      <c r="I48" s="589"/>
      <c r="J48" s="589"/>
      <c r="K48" s="589"/>
      <c r="L48" s="589"/>
      <c r="M48" s="589"/>
      <c r="N48" s="589"/>
      <c r="O48" s="589"/>
      <c r="P48" s="589"/>
      <c r="Q48" s="590"/>
    </row>
    <row r="49" spans="1:17" ht="14.25" customHeight="1" thickBot="1">
      <c r="A49" s="571"/>
      <c r="B49" s="591"/>
      <c r="C49" s="591"/>
      <c r="D49" s="553" t="s">
        <v>64</v>
      </c>
      <c r="E49" s="554"/>
      <c r="F49" s="555"/>
      <c r="G49" s="545" t="s">
        <v>65</v>
      </c>
      <c r="H49" s="546"/>
      <c r="I49" s="546"/>
      <c r="J49" s="546"/>
      <c r="K49" s="546"/>
      <c r="L49" s="546"/>
      <c r="M49" s="546"/>
      <c r="N49" s="546"/>
      <c r="O49" s="546"/>
      <c r="P49" s="546"/>
      <c r="Q49" s="547"/>
    </row>
    <row r="50" spans="1:17" ht="13.5" customHeight="1" thickBot="1">
      <c r="A50" s="571"/>
      <c r="B50" s="591"/>
      <c r="C50" s="588"/>
      <c r="D50" s="548">
        <v>2008</v>
      </c>
      <c r="E50" s="548">
        <v>2009</v>
      </c>
      <c r="F50" s="556">
        <v>2010</v>
      </c>
      <c r="G50" s="549" t="s">
        <v>300</v>
      </c>
      <c r="H50" s="582">
        <v>2012</v>
      </c>
      <c r="I50" s="579">
        <v>2013</v>
      </c>
      <c r="J50" s="548">
        <v>2014</v>
      </c>
      <c r="K50" s="548">
        <v>2015</v>
      </c>
      <c r="L50" s="548">
        <v>2016</v>
      </c>
      <c r="M50" s="548">
        <v>2017</v>
      </c>
      <c r="N50" s="548">
        <v>2018</v>
      </c>
      <c r="O50" s="548">
        <v>2019</v>
      </c>
      <c r="P50" s="548">
        <v>2020</v>
      </c>
      <c r="Q50" s="548">
        <v>2021</v>
      </c>
    </row>
    <row r="51" spans="1:17" ht="24.75" customHeight="1" thickBot="1">
      <c r="A51" s="571"/>
      <c r="B51" s="591"/>
      <c r="C51" s="588"/>
      <c r="D51" s="548"/>
      <c r="E51" s="548"/>
      <c r="F51" s="556"/>
      <c r="G51" s="550"/>
      <c r="H51" s="582"/>
      <c r="I51" s="579"/>
      <c r="J51" s="548"/>
      <c r="K51" s="548"/>
      <c r="L51" s="548"/>
      <c r="M51" s="548"/>
      <c r="N51" s="548"/>
      <c r="O51" s="548"/>
      <c r="P51" s="548"/>
      <c r="Q51" s="548"/>
    </row>
    <row r="52" spans="1:17" ht="27" customHeight="1">
      <c r="A52" s="90">
        <v>11</v>
      </c>
      <c r="B52" s="568" t="s">
        <v>97</v>
      </c>
      <c r="C52" s="557"/>
      <c r="D52" s="91">
        <v>11546170</v>
      </c>
      <c r="E52" s="91">
        <v>25140000</v>
      </c>
      <c r="F52" s="93">
        <v>9000000</v>
      </c>
      <c r="G52" s="439">
        <f>SUM(G53:G56)</f>
        <v>13600000</v>
      </c>
      <c r="H52" s="455">
        <f>SUM(H53:H56)</f>
        <v>6900000</v>
      </c>
      <c r="I52" s="446">
        <v>0</v>
      </c>
      <c r="J52" s="88">
        <v>0</v>
      </c>
      <c r="K52" s="91">
        <v>0</v>
      </c>
      <c r="L52" s="91">
        <v>0</v>
      </c>
      <c r="M52" s="91">
        <v>0</v>
      </c>
      <c r="N52" s="91">
        <v>0</v>
      </c>
      <c r="O52" s="91">
        <v>0</v>
      </c>
      <c r="P52" s="91">
        <v>0</v>
      </c>
      <c r="Q52" s="91">
        <v>0</v>
      </c>
    </row>
    <row r="53" spans="1:17" ht="21" customHeight="1">
      <c r="A53" s="108"/>
      <c r="B53" s="576" t="s">
        <v>72</v>
      </c>
      <c r="C53" s="437" t="s">
        <v>90</v>
      </c>
      <c r="D53" s="85">
        <v>7546170</v>
      </c>
      <c r="E53" s="85">
        <v>6330000</v>
      </c>
      <c r="F53" s="86"/>
      <c r="G53" s="440">
        <v>2100000</v>
      </c>
      <c r="H53" s="456"/>
      <c r="I53" s="446"/>
      <c r="J53" s="88"/>
      <c r="K53" s="91"/>
      <c r="L53" s="91"/>
      <c r="M53" s="91"/>
      <c r="N53" s="91"/>
      <c r="O53" s="91"/>
      <c r="P53" s="91"/>
      <c r="Q53" s="91"/>
    </row>
    <row r="54" spans="1:17" ht="21" customHeight="1">
      <c r="A54" s="127"/>
      <c r="B54" s="577"/>
      <c r="C54" s="437" t="s">
        <v>91</v>
      </c>
      <c r="D54" s="85">
        <v>4000000</v>
      </c>
      <c r="E54" s="85">
        <v>4810000</v>
      </c>
      <c r="F54" s="86"/>
      <c r="G54" s="440">
        <v>0</v>
      </c>
      <c r="H54" s="456"/>
      <c r="I54" s="446"/>
      <c r="J54" s="88"/>
      <c r="K54" s="91"/>
      <c r="L54" s="91"/>
      <c r="M54" s="91"/>
      <c r="N54" s="91"/>
      <c r="O54" s="91"/>
      <c r="P54" s="91"/>
      <c r="Q54" s="91"/>
    </row>
    <row r="55" spans="1:17" ht="21" customHeight="1">
      <c r="A55" s="127"/>
      <c r="B55" s="577"/>
      <c r="C55" s="437" t="s">
        <v>217</v>
      </c>
      <c r="D55" s="85"/>
      <c r="E55" s="85">
        <v>14000000</v>
      </c>
      <c r="F55" s="86">
        <v>9000000</v>
      </c>
      <c r="G55" s="440">
        <v>7000000</v>
      </c>
      <c r="H55" s="456"/>
      <c r="I55" s="446"/>
      <c r="J55" s="88"/>
      <c r="K55" s="91"/>
      <c r="L55" s="91"/>
      <c r="M55" s="91"/>
      <c r="N55" s="91"/>
      <c r="O55" s="91"/>
      <c r="P55" s="91"/>
      <c r="Q55" s="91"/>
    </row>
    <row r="56" spans="1:17" ht="36.75" customHeight="1">
      <c r="A56" s="127"/>
      <c r="B56" s="578"/>
      <c r="C56" s="437" t="s">
        <v>218</v>
      </c>
      <c r="D56" s="85"/>
      <c r="E56" s="85"/>
      <c r="F56" s="86"/>
      <c r="G56" s="440">
        <v>4500000</v>
      </c>
      <c r="H56" s="456">
        <v>6900000</v>
      </c>
      <c r="I56" s="446"/>
      <c r="J56" s="88"/>
      <c r="K56" s="91"/>
      <c r="L56" s="91"/>
      <c r="M56" s="91"/>
      <c r="N56" s="91"/>
      <c r="O56" s="91"/>
      <c r="P56" s="91"/>
      <c r="Q56" s="91"/>
    </row>
    <row r="57" spans="1:18" ht="68.25" customHeight="1">
      <c r="A57" s="90" t="s">
        <v>67</v>
      </c>
      <c r="B57" s="572" t="s">
        <v>99</v>
      </c>
      <c r="C57" s="573"/>
      <c r="D57" s="85">
        <v>15733115</v>
      </c>
      <c r="E57" s="85">
        <v>3719761</v>
      </c>
      <c r="F57" s="86">
        <v>1245475</v>
      </c>
      <c r="G57" s="440">
        <v>427077</v>
      </c>
      <c r="H57" s="456">
        <v>35040</v>
      </c>
      <c r="I57" s="446"/>
      <c r="J57" s="88"/>
      <c r="K57" s="91"/>
      <c r="L57" s="91"/>
      <c r="M57" s="91"/>
      <c r="N57" s="91"/>
      <c r="O57" s="91"/>
      <c r="P57" s="91"/>
      <c r="Q57" s="91"/>
      <c r="R57" s="491"/>
    </row>
    <row r="58" spans="1:18" ht="21" customHeight="1">
      <c r="A58" s="90" t="s">
        <v>69</v>
      </c>
      <c r="B58" s="572" t="s">
        <v>100</v>
      </c>
      <c r="C58" s="573"/>
      <c r="D58" s="85">
        <v>4121265</v>
      </c>
      <c r="E58" s="85"/>
      <c r="F58" s="86"/>
      <c r="G58" s="440"/>
      <c r="H58" s="456"/>
      <c r="I58" s="446"/>
      <c r="J58" s="88"/>
      <c r="K58" s="91"/>
      <c r="L58" s="91"/>
      <c r="M58" s="91"/>
      <c r="N58" s="91"/>
      <c r="O58" s="91"/>
      <c r="P58" s="91"/>
      <c r="Q58" s="91"/>
      <c r="R58" s="491"/>
    </row>
    <row r="59" spans="1:18" ht="29.25" customHeight="1">
      <c r="A59" s="109">
        <v>12</v>
      </c>
      <c r="B59" s="569" t="s">
        <v>101</v>
      </c>
      <c r="C59" s="570"/>
      <c r="D59" s="110">
        <f aca="true" t="shared" si="7" ref="D59:J59">D35-D36+D52</f>
        <v>3719761.4299999997</v>
      </c>
      <c r="E59" s="229">
        <f t="shared" si="7"/>
        <v>1245475</v>
      </c>
      <c r="F59" s="230">
        <f t="shared" si="7"/>
        <v>427077</v>
      </c>
      <c r="G59" s="441">
        <f t="shared" si="7"/>
        <v>0</v>
      </c>
      <c r="H59" s="457">
        <f t="shared" si="7"/>
        <v>0</v>
      </c>
      <c r="I59" s="447">
        <f t="shared" si="7"/>
        <v>0</v>
      </c>
      <c r="J59" s="111">
        <f t="shared" si="7"/>
        <v>0</v>
      </c>
      <c r="K59" s="111">
        <f aca="true" t="shared" si="8" ref="K59:Q59">K35-K36+K52</f>
        <v>0</v>
      </c>
      <c r="L59" s="111">
        <f t="shared" si="8"/>
        <v>0</v>
      </c>
      <c r="M59" s="111">
        <f t="shared" si="8"/>
        <v>0</v>
      </c>
      <c r="N59" s="111">
        <f t="shared" si="8"/>
        <v>-0.25999999791383743</v>
      </c>
      <c r="O59" s="111">
        <f t="shared" si="8"/>
        <v>0.46000000089406967</v>
      </c>
      <c r="P59" s="111">
        <f t="shared" si="8"/>
        <v>0</v>
      </c>
      <c r="Q59" s="111">
        <f t="shared" si="8"/>
        <v>0</v>
      </c>
      <c r="R59" s="492"/>
    </row>
    <row r="60" spans="1:18" ht="22.5" customHeight="1">
      <c r="A60" s="112">
        <v>13</v>
      </c>
      <c r="B60" s="574" t="s">
        <v>102</v>
      </c>
      <c r="C60" s="575"/>
      <c r="D60" s="92">
        <f>'Prognoza długu'!C10</f>
        <v>24061046</v>
      </c>
      <c r="E60" s="92">
        <f>'Prognoza długu'!D10</f>
        <v>45737732</v>
      </c>
      <c r="F60" s="93">
        <f>'Prognoza długu'!E10</f>
        <v>47797647</v>
      </c>
      <c r="G60" s="442">
        <f>'Prognoza długu'!F10</f>
        <v>56846062</v>
      </c>
      <c r="H60" s="458">
        <f>'Prognoza długu'!G10</f>
        <v>56811022</v>
      </c>
      <c r="I60" s="448">
        <f>'Prognoza długu'!H10</f>
        <v>49544123</v>
      </c>
      <c r="J60" s="93">
        <f>'Prognoza długu'!I10</f>
        <v>42437670</v>
      </c>
      <c r="K60" s="93">
        <f>'Prognoza długu'!J10</f>
        <v>36287670</v>
      </c>
      <c r="L60" s="92">
        <f>'Prognoza długu'!K10</f>
        <v>30037670</v>
      </c>
      <c r="M60" s="92">
        <f>'Prognoza długu'!L10</f>
        <v>23236500</v>
      </c>
      <c r="N60" s="92">
        <f>'Prognoza długu'!M10</f>
        <v>18174472</v>
      </c>
      <c r="O60" s="92">
        <f>'Prognoza długu'!N10</f>
        <v>10823949</v>
      </c>
      <c r="P60" s="92">
        <f>'Prognoza długu'!O10</f>
        <v>4523949</v>
      </c>
      <c r="Q60" s="92">
        <f>'Prognoza długu'!P10</f>
        <v>0</v>
      </c>
      <c r="R60" s="493"/>
    </row>
    <row r="61" spans="1:18" ht="65.25" customHeight="1">
      <c r="A61" s="566"/>
      <c r="B61" s="567" t="s">
        <v>72</v>
      </c>
      <c r="C61" s="435" t="s">
        <v>103</v>
      </c>
      <c r="D61" s="91">
        <v>0</v>
      </c>
      <c r="E61" s="91">
        <v>0</v>
      </c>
      <c r="F61" s="88">
        <v>0</v>
      </c>
      <c r="G61" s="439">
        <v>2100000</v>
      </c>
      <c r="H61" s="455">
        <v>2050000</v>
      </c>
      <c r="I61" s="449">
        <v>2000000</v>
      </c>
      <c r="J61" s="88">
        <v>0</v>
      </c>
      <c r="K61" s="88">
        <v>0</v>
      </c>
      <c r="L61" s="88">
        <v>0</v>
      </c>
      <c r="M61" s="88">
        <v>0</v>
      </c>
      <c r="N61" s="88">
        <v>0</v>
      </c>
      <c r="O61" s="88">
        <v>0</v>
      </c>
      <c r="P61" s="88">
        <v>0</v>
      </c>
      <c r="Q61" s="88">
        <v>0</v>
      </c>
      <c r="R61" s="491"/>
    </row>
    <row r="62" spans="1:17" ht="87.75" customHeight="1">
      <c r="A62" s="566"/>
      <c r="B62" s="567"/>
      <c r="C62" s="435" t="s">
        <v>231</v>
      </c>
      <c r="D62" s="91">
        <v>0</v>
      </c>
      <c r="E62" s="91">
        <v>0</v>
      </c>
      <c r="F62" s="88">
        <v>0</v>
      </c>
      <c r="G62" s="439"/>
      <c r="H62" s="455">
        <v>50000</v>
      </c>
      <c r="I62" s="449">
        <v>50000</v>
      </c>
      <c r="J62" s="88">
        <v>0</v>
      </c>
      <c r="K62" s="88">
        <v>0</v>
      </c>
      <c r="L62" s="88">
        <v>0</v>
      </c>
      <c r="M62" s="88">
        <v>0</v>
      </c>
      <c r="N62" s="88">
        <v>0</v>
      </c>
      <c r="O62" s="88">
        <v>0</v>
      </c>
      <c r="P62" s="88">
        <v>0</v>
      </c>
      <c r="Q62" s="88">
        <v>0</v>
      </c>
    </row>
    <row r="63" spans="1:17" ht="66" customHeight="1">
      <c r="A63" s="112">
        <v>14</v>
      </c>
      <c r="B63" s="580" t="s">
        <v>104</v>
      </c>
      <c r="C63" s="581"/>
      <c r="D63" s="91">
        <v>0</v>
      </c>
      <c r="E63" s="91">
        <v>0</v>
      </c>
      <c r="F63" s="88">
        <v>0</v>
      </c>
      <c r="G63" s="439">
        <v>0</v>
      </c>
      <c r="H63" s="455">
        <v>0</v>
      </c>
      <c r="I63" s="449">
        <v>0</v>
      </c>
      <c r="J63" s="88">
        <v>0</v>
      </c>
      <c r="K63" s="88">
        <v>0</v>
      </c>
      <c r="L63" s="91">
        <v>0</v>
      </c>
      <c r="M63" s="91">
        <v>0</v>
      </c>
      <c r="N63" s="91">
        <v>0</v>
      </c>
      <c r="O63" s="91">
        <v>0</v>
      </c>
      <c r="P63" s="91">
        <v>0</v>
      </c>
      <c r="Q63" s="91">
        <v>0</v>
      </c>
    </row>
    <row r="64" spans="1:17" ht="39" customHeight="1">
      <c r="A64" s="112">
        <v>15</v>
      </c>
      <c r="B64" s="580" t="s">
        <v>220</v>
      </c>
      <c r="C64" s="581"/>
      <c r="D64" s="113">
        <f aca="true" t="shared" si="9" ref="D64:I64">D28/D13*100</f>
        <v>2.328259487896857</v>
      </c>
      <c r="E64" s="113">
        <f t="shared" si="9"/>
        <v>5.510659630018439</v>
      </c>
      <c r="F64" s="231">
        <f t="shared" si="9"/>
        <v>10.653694792951553</v>
      </c>
      <c r="G64" s="231">
        <f>G28/G13*100</f>
        <v>6.023511077561799</v>
      </c>
      <c r="H64" s="485">
        <f>H28/H13*100</f>
        <v>5.224377600347147</v>
      </c>
      <c r="I64" s="231">
        <f t="shared" si="9"/>
        <v>6.225059202772225</v>
      </c>
      <c r="J64" s="231"/>
      <c r="K64" s="231"/>
      <c r="L64" s="113"/>
      <c r="M64" s="113"/>
      <c r="N64" s="113"/>
      <c r="O64" s="113"/>
      <c r="P64" s="113"/>
      <c r="Q64" s="113"/>
    </row>
    <row r="65" spans="1:17" ht="39" customHeight="1">
      <c r="A65" s="112">
        <v>16</v>
      </c>
      <c r="B65" s="580" t="s">
        <v>219</v>
      </c>
      <c r="C65" s="581"/>
      <c r="D65" s="113">
        <f aca="true" t="shared" si="10" ref="D65:I65">D60/D13*100</f>
        <v>29.735586739681374</v>
      </c>
      <c r="E65" s="113">
        <f t="shared" si="10"/>
        <v>55.98274647127499</v>
      </c>
      <c r="F65" s="231">
        <f t="shared" si="10"/>
        <v>56.16915056018266</v>
      </c>
      <c r="G65" s="443">
        <f t="shared" si="10"/>
        <v>49.7435679254916</v>
      </c>
      <c r="H65" s="459">
        <f t="shared" si="10"/>
        <v>32.14605014763774</v>
      </c>
      <c r="I65" s="450">
        <f t="shared" si="10"/>
        <v>29.55061207919186</v>
      </c>
      <c r="J65" s="231"/>
      <c r="K65" s="231"/>
      <c r="L65" s="113"/>
      <c r="M65" s="113"/>
      <c r="N65" s="113"/>
      <c r="O65" s="113"/>
      <c r="P65" s="113"/>
      <c r="Q65" s="113"/>
    </row>
    <row r="66" spans="1:17" ht="66.75" customHeight="1">
      <c r="A66" s="114">
        <v>17</v>
      </c>
      <c r="B66" s="580" t="s">
        <v>105</v>
      </c>
      <c r="C66" s="581"/>
      <c r="D66" s="433" t="s">
        <v>71</v>
      </c>
      <c r="E66" s="433" t="s">
        <v>71</v>
      </c>
      <c r="F66" s="232">
        <v>0.1911</v>
      </c>
      <c r="G66" s="444">
        <f>1/3*((D14+D16-'Prognoza długu'!C25)/WPF!D13+(WPF!E14+WPF!E16-'Prognoza długu'!D25)/WPF!E13+(WPF!F14+WPF!F16-'Prognoza długu'!E25)/WPF!F13)</f>
        <v>0.1291721492426357</v>
      </c>
      <c r="H66" s="460">
        <f>1/3*((E14+E16-'Prognoza długu'!D25)/WPF!E13+(WPF!F14+WPF!F16-'Prognoza długu'!E25)/WPF!F13+(WPF!G14+WPF!G16-'Prognoza długu'!F25)/WPF!G13)</f>
        <v>0.12224780731270857</v>
      </c>
      <c r="I66" s="451">
        <f>1/3*((F14+F16-'Prognoza długu'!E25)/WPF!F13+(WPF!G14+WPF!G16-'Prognoza długu'!F25)/WPF!G13+(WPF!H14+WPF!H16-'Prognoza długu'!G25)/WPF!H13)</f>
        <v>0.19070115094954465</v>
      </c>
      <c r="J66" s="232">
        <f>1/3*((G14+G16-'Prognoza długu'!F25)/WPF!G13+(WPF!H14+WPF!H16-'Prognoza długu'!G25)/WPF!H13+(WPF!I14+WPF!I16-'Prognoza długu'!H25)/WPF!I13)</f>
        <v>0.2675770915217289</v>
      </c>
      <c r="K66" s="232">
        <f>1/3*((H14+H16-'Prognoza długu'!G25)/WPF!H13+(WPF!I14+WPF!I16-'Prognoza długu'!H25)/WPF!I13+(WPF!J14+WPF!J16-'Prognoza długu'!I25)/WPF!J13)</f>
        <v>0.2892813256672331</v>
      </c>
      <c r="L66" s="433">
        <f>1/3*((I14+I16-'Prognoza długu'!H25)/WPF!I13+(WPF!J14+WPF!J16-'Prognoza długu'!I25)/WPF!J13+(WPF!K14+WPF!K16-'Prognoza długu'!J25)/WPF!K13)</f>
        <v>0.27849445809155227</v>
      </c>
      <c r="M66" s="433">
        <f>1/3*((J14+J16-'Prognoza długu'!I25)/WPF!J13+(WPF!K14+WPF!K16-'Prognoza długu'!J25)/WPF!K13+(WPF!L14+WPF!L16-'Prognoza długu'!K25)/WPF!L13)</f>
        <v>0.2424705083936876</v>
      </c>
      <c r="N66" s="433">
        <f>1/3*((K14+K16-'Prognoza długu'!J25)/WPF!K13+(WPF!L14+WPF!L16-'Prognoza długu'!K25)/WPF!L13+(WPF!M14+WPF!M16-'Prognoza długu'!L25)/WPF!M13)</f>
        <v>0.22671082021363892</v>
      </c>
      <c r="O66" s="433">
        <f>1/3*((L14+L16-'Prognoza długu'!K25)/WPF!L13+(WPF!M14+WPF!M16-'Prognoza długu'!L25)/WPF!M13+(WPF!N14+WPF!N16-'Prognoza długu'!M25)/WPF!N13)</f>
        <v>0.2048225586267341</v>
      </c>
      <c r="P66" s="433">
        <f>1/3*((M14+M16-'Prognoza długu'!L25)/WPF!M13+(WPF!N14+WPF!N16-'Prognoza długu'!M25)/WPF!N13+(WPF!O14+WPF!O16-'Prognoza długu'!N25)/WPF!O13)</f>
        <v>0.2171490773932484</v>
      </c>
      <c r="Q66" s="433">
        <f>1/3*((N14+N16-'Prognoza długu'!M25)/WPF!N13+(WPF!O14+WPF!O16-'Prognoza długu'!N25)/WPF!O13+(WPF!P14+WPF!P16-'Prognoza długu'!O25)/WPF!P13)</f>
        <v>0.22294167223691674</v>
      </c>
    </row>
    <row r="67" spans="1:17" ht="33.75" customHeight="1">
      <c r="A67" s="114">
        <v>18</v>
      </c>
      <c r="B67" s="580" t="s">
        <v>106</v>
      </c>
      <c r="C67" s="581"/>
      <c r="D67" s="115">
        <f aca="true" t="shared" si="11" ref="D67:Q67">D28/D13</f>
        <v>0.023282594878968572</v>
      </c>
      <c r="E67" s="115">
        <f t="shared" si="11"/>
        <v>0.055106596300184385</v>
      </c>
      <c r="F67" s="232">
        <f t="shared" si="11"/>
        <v>0.10653694792951553</v>
      </c>
      <c r="G67" s="444">
        <f t="shared" si="11"/>
        <v>0.06023511077561799</v>
      </c>
      <c r="H67" s="460">
        <f t="shared" si="11"/>
        <v>0.052243776003471465</v>
      </c>
      <c r="I67" s="451">
        <f t="shared" si="11"/>
        <v>0.06225059202772225</v>
      </c>
      <c r="J67" s="232">
        <f t="shared" si="11"/>
        <v>0.08593919323309304</v>
      </c>
      <c r="K67" s="232">
        <f t="shared" si="11"/>
        <v>0.06669593724777739</v>
      </c>
      <c r="L67" s="115">
        <f t="shared" si="11"/>
        <v>0.06762204378541244</v>
      </c>
      <c r="M67" s="115">
        <f t="shared" si="11"/>
        <v>0.06750839351544803</v>
      </c>
      <c r="N67" s="115">
        <f t="shared" si="11"/>
        <v>0.04909188090104212</v>
      </c>
      <c r="O67" s="115">
        <f t="shared" si="11"/>
        <v>0.060479011713379424</v>
      </c>
      <c r="P67" s="115">
        <f t="shared" si="11"/>
        <v>0.04811166930487907</v>
      </c>
      <c r="Q67" s="115">
        <f t="shared" si="11"/>
        <v>0.03217987218700601</v>
      </c>
    </row>
    <row r="68" spans="1:17" ht="38.25" customHeight="1">
      <c r="A68" s="114">
        <v>19</v>
      </c>
      <c r="B68" s="580" t="s">
        <v>107</v>
      </c>
      <c r="C68" s="581"/>
      <c r="D68" s="433" t="s">
        <v>71</v>
      </c>
      <c r="E68" s="433" t="s">
        <v>71</v>
      </c>
      <c r="F68" s="232">
        <f>F66-F67</f>
        <v>0.08456305207048447</v>
      </c>
      <c r="G68" s="444">
        <f aca="true" t="shared" si="12" ref="G68:Q68">G66-G67</f>
        <v>0.06893703846701771</v>
      </c>
      <c r="H68" s="460">
        <f t="shared" si="12"/>
        <v>0.0700040313092371</v>
      </c>
      <c r="I68" s="451">
        <f t="shared" si="12"/>
        <v>0.1284505589218224</v>
      </c>
      <c r="J68" s="232">
        <f t="shared" si="12"/>
        <v>0.18163789828863589</v>
      </c>
      <c r="K68" s="232">
        <f t="shared" si="12"/>
        <v>0.2225853884194557</v>
      </c>
      <c r="L68" s="232">
        <f t="shared" si="12"/>
        <v>0.21087241430613984</v>
      </c>
      <c r="M68" s="232">
        <f t="shared" si="12"/>
        <v>0.1749621148782396</v>
      </c>
      <c r="N68" s="232">
        <f t="shared" si="12"/>
        <v>0.1776189393125968</v>
      </c>
      <c r="O68" s="232">
        <f t="shared" si="12"/>
        <v>0.14434354691335466</v>
      </c>
      <c r="P68" s="232">
        <f t="shared" si="12"/>
        <v>0.16903740808836934</v>
      </c>
      <c r="Q68" s="232">
        <f t="shared" si="12"/>
        <v>0.19076180004991072</v>
      </c>
    </row>
    <row r="69" spans="1:17" ht="16.5" customHeight="1">
      <c r="A69" s="114">
        <v>20</v>
      </c>
      <c r="B69" s="580" t="s">
        <v>108</v>
      </c>
      <c r="C69" s="581"/>
      <c r="D69" s="92">
        <f>'Prognoza długu'!C24</f>
        <v>107175456.57</v>
      </c>
      <c r="E69" s="92">
        <f>'Prognoza długu'!D24</f>
        <v>105850665</v>
      </c>
      <c r="F69" s="92">
        <f>'Prognoza długu'!E24</f>
        <v>87934218</v>
      </c>
      <c r="G69" s="442">
        <f>'Prognoza długu'!F24</f>
        <v>123753708</v>
      </c>
      <c r="H69" s="458">
        <f>'Prognoza długu'!G24</f>
        <v>176727846</v>
      </c>
      <c r="I69" s="452">
        <f>'Prognoza długu'!H24</f>
        <v>160391635</v>
      </c>
      <c r="J69" s="92">
        <f>'Prognoza długu'!I24</f>
        <v>107624133</v>
      </c>
      <c r="K69" s="92">
        <f>'Prognoza długu'!J24</f>
        <v>123108338</v>
      </c>
      <c r="L69" s="92">
        <f>'Prognoza długu'!K24</f>
        <v>118598430</v>
      </c>
      <c r="M69" s="92">
        <f>'Prognoza długu'!L24</f>
        <v>122277046</v>
      </c>
      <c r="N69" s="92">
        <f>'Prognoza długu'!M24</f>
        <v>129468553.26</v>
      </c>
      <c r="O69" s="92">
        <f>'Prognoza długu'!N24</f>
        <v>132308232.54</v>
      </c>
      <c r="P69" s="92">
        <f>'Prognoza długu'!O24</f>
        <v>137247325.43</v>
      </c>
      <c r="Q69" s="92">
        <f>'Prognoza długu'!P24</f>
        <v>142134692.3225</v>
      </c>
    </row>
    <row r="70" spans="1:17" ht="16.5" customHeight="1">
      <c r="A70" s="114">
        <v>21</v>
      </c>
      <c r="B70" s="580" t="s">
        <v>109</v>
      </c>
      <c r="C70" s="581"/>
      <c r="D70" s="92">
        <f>'Prognoza długu'!C25</f>
        <v>63862781</v>
      </c>
      <c r="E70" s="92">
        <f>'Prognoza długu'!D25</f>
        <v>72590083</v>
      </c>
      <c r="F70" s="92">
        <f>'Prognoza długu'!E25</f>
        <v>78155472</v>
      </c>
      <c r="G70" s="442">
        <f>'Prognoza długu'!F25</f>
        <v>90332223</v>
      </c>
      <c r="H70" s="458">
        <f>'Prognoza długu'!G25</f>
        <v>102077569</v>
      </c>
      <c r="I70" s="452">
        <f>'Prognoza długu'!H25</f>
        <v>85190174</v>
      </c>
      <c r="J70" s="92">
        <f>'Prognoza długu'!I25</f>
        <v>85484133</v>
      </c>
      <c r="K70" s="92">
        <f>'Prognoza długu'!J25</f>
        <v>84808338</v>
      </c>
      <c r="L70" s="92">
        <f>'Prognoza długu'!K25</f>
        <v>100098430</v>
      </c>
      <c r="M70" s="92">
        <f>'Prognoza długu'!L25</f>
        <v>102277046</v>
      </c>
      <c r="N70" s="92">
        <f>'Prognoza długu'!M25</f>
        <v>106468553.26</v>
      </c>
      <c r="O70" s="92">
        <f>'Prognoza długu'!N25</f>
        <v>106808232.54</v>
      </c>
      <c r="P70" s="92">
        <f>'Prognoza długu'!O25</f>
        <v>111247325.43</v>
      </c>
      <c r="Q70" s="92">
        <f>'Prognoza długu'!P25</f>
        <v>114134692.3225</v>
      </c>
    </row>
    <row r="71" spans="1:17" ht="35.25" customHeight="1">
      <c r="A71" s="114">
        <v>22</v>
      </c>
      <c r="B71" s="580" t="s">
        <v>139</v>
      </c>
      <c r="C71" s="581"/>
      <c r="D71" s="92">
        <f aca="true" t="shared" si="13" ref="D71:N71">D13-D69</f>
        <v>-26258788.569999993</v>
      </c>
      <c r="E71" s="92">
        <f t="shared" si="13"/>
        <v>-24150972</v>
      </c>
      <c r="F71" s="92">
        <f t="shared" si="13"/>
        <v>-2838313</v>
      </c>
      <c r="G71" s="442">
        <f t="shared" si="13"/>
        <v>-9475492</v>
      </c>
      <c r="H71" s="458">
        <f t="shared" si="13"/>
        <v>0</v>
      </c>
      <c r="I71" s="452">
        <f t="shared" si="13"/>
        <v>7266899</v>
      </c>
      <c r="J71" s="92">
        <f t="shared" si="13"/>
        <v>7106453</v>
      </c>
      <c r="K71" s="92">
        <f t="shared" si="13"/>
        <v>6150000</v>
      </c>
      <c r="L71" s="92">
        <f t="shared" si="13"/>
        <v>6250000</v>
      </c>
      <c r="M71" s="92">
        <f t="shared" si="13"/>
        <v>6801170</v>
      </c>
      <c r="N71" s="92">
        <f t="shared" si="13"/>
        <v>5062027.739999995</v>
      </c>
      <c r="O71" s="92">
        <f>O13-O69</f>
        <v>7350523.459999993</v>
      </c>
      <c r="P71" s="92">
        <f>P13-P69</f>
        <v>6299999.569999993</v>
      </c>
      <c r="Q71" s="92">
        <f>Q13-Q69</f>
        <v>4523948.67750001</v>
      </c>
    </row>
    <row r="72" spans="1:17" ht="17.25" customHeight="1">
      <c r="A72" s="112">
        <v>23</v>
      </c>
      <c r="B72" s="557" t="s">
        <v>212</v>
      </c>
      <c r="C72" s="558"/>
      <c r="D72" s="91">
        <f>SUM(D73:D77)</f>
        <v>26258789</v>
      </c>
      <c r="E72" s="91">
        <f>SUM(E73:E77)</f>
        <v>24150972</v>
      </c>
      <c r="F72" s="91">
        <f>SUM(F73:F77)</f>
        <v>2838313</v>
      </c>
      <c r="G72" s="439">
        <f>SUM(G73:G77)</f>
        <v>9475492</v>
      </c>
      <c r="H72" s="458"/>
      <c r="I72" s="452"/>
      <c r="J72" s="92"/>
      <c r="K72" s="92"/>
      <c r="L72" s="92"/>
      <c r="M72" s="92"/>
      <c r="N72" s="92"/>
      <c r="O72" s="92"/>
      <c r="P72" s="92"/>
      <c r="Q72" s="92"/>
    </row>
    <row r="73" spans="1:17" ht="15" customHeight="1">
      <c r="A73" s="116" t="s">
        <v>67</v>
      </c>
      <c r="B73" s="559" t="s">
        <v>90</v>
      </c>
      <c r="C73" s="558"/>
      <c r="D73" s="85">
        <v>7546170</v>
      </c>
      <c r="E73" s="85">
        <v>6330000</v>
      </c>
      <c r="F73" s="85"/>
      <c r="G73" s="440">
        <v>2100000</v>
      </c>
      <c r="H73" s="458"/>
      <c r="I73" s="452"/>
      <c r="J73" s="92"/>
      <c r="K73" s="92"/>
      <c r="L73" s="92"/>
      <c r="M73" s="92"/>
      <c r="N73" s="92"/>
      <c r="O73" s="92"/>
      <c r="P73" s="92"/>
      <c r="Q73" s="92"/>
    </row>
    <row r="74" spans="1:17" ht="15" customHeight="1">
      <c r="A74" s="116" t="s">
        <v>69</v>
      </c>
      <c r="B74" s="559" t="s">
        <v>91</v>
      </c>
      <c r="C74" s="558"/>
      <c r="D74" s="85">
        <v>4000000</v>
      </c>
      <c r="E74" s="85">
        <v>4810000</v>
      </c>
      <c r="F74" s="85"/>
      <c r="G74" s="440"/>
      <c r="H74" s="458"/>
      <c r="I74" s="452"/>
      <c r="J74" s="92"/>
      <c r="K74" s="92"/>
      <c r="L74" s="92"/>
      <c r="M74" s="92"/>
      <c r="N74" s="92"/>
      <c r="O74" s="92"/>
      <c r="P74" s="92"/>
      <c r="Q74" s="92"/>
    </row>
    <row r="75" spans="1:17" ht="15" customHeight="1">
      <c r="A75" s="116" t="s">
        <v>77</v>
      </c>
      <c r="B75" s="559" t="s">
        <v>210</v>
      </c>
      <c r="C75" s="558"/>
      <c r="D75" s="85">
        <v>2699265</v>
      </c>
      <c r="E75" s="85"/>
      <c r="F75" s="85"/>
      <c r="G75" s="440"/>
      <c r="H75" s="458"/>
      <c r="I75" s="452"/>
      <c r="J75" s="92"/>
      <c r="K75" s="92"/>
      <c r="L75" s="92"/>
      <c r="M75" s="92"/>
      <c r="N75" s="92"/>
      <c r="O75" s="92"/>
      <c r="P75" s="92"/>
      <c r="Q75" s="92"/>
    </row>
    <row r="76" spans="1:17" ht="48.75" customHeight="1">
      <c r="A76" s="116" t="s">
        <v>80</v>
      </c>
      <c r="B76" s="572" t="s">
        <v>99</v>
      </c>
      <c r="C76" s="558"/>
      <c r="D76" s="85">
        <v>12013354</v>
      </c>
      <c r="E76" s="85"/>
      <c r="F76" s="85"/>
      <c r="G76" s="440">
        <v>375492</v>
      </c>
      <c r="H76" s="458"/>
      <c r="I76" s="452"/>
      <c r="J76" s="92"/>
      <c r="K76" s="92"/>
      <c r="L76" s="92"/>
      <c r="M76" s="92"/>
      <c r="N76" s="92"/>
      <c r="O76" s="92"/>
      <c r="P76" s="92"/>
      <c r="Q76" s="92"/>
    </row>
    <row r="77" spans="1:18" ht="15" customHeight="1">
      <c r="A77" s="116" t="s">
        <v>141</v>
      </c>
      <c r="B77" s="585" t="s">
        <v>215</v>
      </c>
      <c r="C77" s="586"/>
      <c r="D77" s="85"/>
      <c r="E77" s="85">
        <v>13010972</v>
      </c>
      <c r="F77" s="85">
        <v>2838313</v>
      </c>
      <c r="G77" s="440">
        <v>7000000</v>
      </c>
      <c r="H77" s="458"/>
      <c r="I77" s="452"/>
      <c r="J77" s="92"/>
      <c r="K77" s="92"/>
      <c r="L77" s="92"/>
      <c r="M77" s="92"/>
      <c r="N77" s="92"/>
      <c r="O77" s="92"/>
      <c r="P77" s="92"/>
      <c r="Q77" s="92"/>
      <c r="R77" s="36"/>
    </row>
    <row r="78" spans="1:18" ht="17.25" customHeight="1">
      <c r="A78" s="112">
        <v>24</v>
      </c>
      <c r="B78" s="557" t="s">
        <v>213</v>
      </c>
      <c r="C78" s="558"/>
      <c r="D78" s="91"/>
      <c r="E78" s="91"/>
      <c r="F78" s="91"/>
      <c r="G78" s="439"/>
      <c r="H78" s="458">
        <f>SUM(H79:H81)</f>
        <v>0</v>
      </c>
      <c r="I78" s="452">
        <f aca="true" t="shared" si="14" ref="I78:Q78">SUM(I79:I81)</f>
        <v>7266899</v>
      </c>
      <c r="J78" s="92">
        <f t="shared" si="14"/>
        <v>7106453</v>
      </c>
      <c r="K78" s="92">
        <f t="shared" si="14"/>
        <v>6150000</v>
      </c>
      <c r="L78" s="92">
        <f t="shared" si="14"/>
        <v>6250000</v>
      </c>
      <c r="M78" s="92">
        <f t="shared" si="14"/>
        <v>6801170</v>
      </c>
      <c r="N78" s="92">
        <f t="shared" si="14"/>
        <v>5062028</v>
      </c>
      <c r="O78" s="92">
        <f t="shared" si="14"/>
        <v>7350523</v>
      </c>
      <c r="P78" s="92">
        <f t="shared" si="14"/>
        <v>6300000</v>
      </c>
      <c r="Q78" s="92">
        <f t="shared" si="14"/>
        <v>4523949</v>
      </c>
      <c r="R78" s="432"/>
    </row>
    <row r="79" spans="1:18" ht="15" customHeight="1">
      <c r="A79" s="117" t="s">
        <v>67</v>
      </c>
      <c r="B79" s="559" t="s">
        <v>209</v>
      </c>
      <c r="C79" s="558"/>
      <c r="D79" s="86"/>
      <c r="E79" s="86"/>
      <c r="F79" s="118"/>
      <c r="G79" s="440"/>
      <c r="H79" s="461"/>
      <c r="I79" s="453">
        <f>I30</f>
        <v>3666899</v>
      </c>
      <c r="J79" s="84">
        <f aca="true" t="shared" si="15" ref="J79:Q79">J30</f>
        <v>3506453</v>
      </c>
      <c r="K79" s="84">
        <f t="shared" si="15"/>
        <v>2550000</v>
      </c>
      <c r="L79" s="84">
        <f t="shared" si="15"/>
        <v>2550000</v>
      </c>
      <c r="M79" s="84">
        <f t="shared" si="15"/>
        <v>2401170</v>
      </c>
      <c r="N79" s="84">
        <f t="shared" si="15"/>
        <v>62028</v>
      </c>
      <c r="O79" s="84">
        <f t="shared" si="15"/>
        <v>750523</v>
      </c>
      <c r="P79" s="84">
        <f t="shared" si="15"/>
        <v>600000</v>
      </c>
      <c r="Q79" s="84">
        <f t="shared" si="15"/>
        <v>423949</v>
      </c>
      <c r="R79" s="36"/>
    </row>
    <row r="80" spans="1:17" ht="15" customHeight="1">
      <c r="A80" s="117" t="s">
        <v>69</v>
      </c>
      <c r="B80" s="559" t="s">
        <v>214</v>
      </c>
      <c r="C80" s="558"/>
      <c r="D80" s="86"/>
      <c r="E80" s="86"/>
      <c r="F80" s="118"/>
      <c r="G80" s="440"/>
      <c r="H80" s="461"/>
      <c r="I80" s="453">
        <f>I31</f>
        <v>600000</v>
      </c>
      <c r="J80" s="84">
        <f aca="true" t="shared" si="16" ref="J80:Q80">J31</f>
        <v>600000</v>
      </c>
      <c r="K80" s="84">
        <f t="shared" si="16"/>
        <v>600000</v>
      </c>
      <c r="L80" s="84">
        <f t="shared" si="16"/>
        <v>700000</v>
      </c>
      <c r="M80" s="84">
        <f t="shared" si="16"/>
        <v>1400000</v>
      </c>
      <c r="N80" s="84">
        <f t="shared" si="16"/>
        <v>0</v>
      </c>
      <c r="O80" s="84">
        <f t="shared" si="16"/>
        <v>0</v>
      </c>
      <c r="P80" s="84">
        <f t="shared" si="16"/>
        <v>0</v>
      </c>
      <c r="Q80" s="84">
        <f t="shared" si="16"/>
        <v>0</v>
      </c>
    </row>
    <row r="81" spans="1:17" ht="15" customHeight="1">
      <c r="A81" s="117" t="s">
        <v>77</v>
      </c>
      <c r="B81" s="559" t="s">
        <v>92</v>
      </c>
      <c r="C81" s="558"/>
      <c r="D81" s="86"/>
      <c r="E81" s="86"/>
      <c r="F81" s="118"/>
      <c r="G81" s="440"/>
      <c r="H81" s="461"/>
      <c r="I81" s="453">
        <f>I32</f>
        <v>3000000</v>
      </c>
      <c r="J81" s="84">
        <f aca="true" t="shared" si="17" ref="J81:Q81">J32</f>
        <v>3000000</v>
      </c>
      <c r="K81" s="84">
        <f t="shared" si="17"/>
        <v>3000000</v>
      </c>
      <c r="L81" s="84">
        <f t="shared" si="17"/>
        <v>3000000</v>
      </c>
      <c r="M81" s="84">
        <f t="shared" si="17"/>
        <v>3000000</v>
      </c>
      <c r="N81" s="84">
        <f t="shared" si="17"/>
        <v>5000000</v>
      </c>
      <c r="O81" s="84">
        <f t="shared" si="17"/>
        <v>6600000</v>
      </c>
      <c r="P81" s="84">
        <f t="shared" si="17"/>
        <v>5700000</v>
      </c>
      <c r="Q81" s="84">
        <f t="shared" si="17"/>
        <v>4100000</v>
      </c>
    </row>
    <row r="82" spans="1:17" ht="19.5" customHeight="1">
      <c r="A82" s="114">
        <v>25</v>
      </c>
      <c r="B82" s="580" t="s">
        <v>110</v>
      </c>
      <c r="C82" s="581"/>
      <c r="D82" s="92">
        <f>'Prognoza długu'!C46</f>
        <v>31400550</v>
      </c>
      <c r="E82" s="92">
        <f>'Prognoza długu'!D46</f>
        <v>28859761</v>
      </c>
      <c r="F82" s="92">
        <f>'Prognoza długu'!E46</f>
        <v>10245475</v>
      </c>
      <c r="G82" s="442">
        <f>'Prognoza długu'!F46</f>
        <v>14027077</v>
      </c>
      <c r="H82" s="458">
        <f>H52+H57</f>
        <v>6935040</v>
      </c>
      <c r="I82" s="452">
        <f aca="true" t="shared" si="18" ref="I82:Q82">I52</f>
        <v>0</v>
      </c>
      <c r="J82" s="92">
        <f t="shared" si="18"/>
        <v>0</v>
      </c>
      <c r="K82" s="92">
        <f t="shared" si="18"/>
        <v>0</v>
      </c>
      <c r="L82" s="92">
        <f t="shared" si="18"/>
        <v>0</v>
      </c>
      <c r="M82" s="92">
        <f t="shared" si="18"/>
        <v>0</v>
      </c>
      <c r="N82" s="92">
        <f t="shared" si="18"/>
        <v>0</v>
      </c>
      <c r="O82" s="92">
        <f t="shared" si="18"/>
        <v>0</v>
      </c>
      <c r="P82" s="92">
        <f t="shared" si="18"/>
        <v>0</v>
      </c>
      <c r="Q82" s="92">
        <f t="shared" si="18"/>
        <v>0</v>
      </c>
    </row>
    <row r="83" spans="1:17" ht="19.5" customHeight="1" thickBot="1">
      <c r="A83" s="119">
        <v>26</v>
      </c>
      <c r="B83" s="583" t="s">
        <v>111</v>
      </c>
      <c r="C83" s="584"/>
      <c r="D83" s="120">
        <f aca="true" t="shared" si="19" ref="D83:P83">D29</f>
        <v>1422000</v>
      </c>
      <c r="E83" s="120">
        <f t="shared" si="19"/>
        <v>3463314</v>
      </c>
      <c r="F83" s="235">
        <f t="shared" si="19"/>
        <v>6940085</v>
      </c>
      <c r="G83" s="445">
        <f t="shared" si="19"/>
        <v>4551585</v>
      </c>
      <c r="H83" s="462">
        <f>H29</f>
        <v>6935040</v>
      </c>
      <c r="I83" s="454">
        <f t="shared" si="19"/>
        <v>7266899</v>
      </c>
      <c r="J83" s="120">
        <f t="shared" si="19"/>
        <v>7106453</v>
      </c>
      <c r="K83" s="120">
        <f t="shared" si="19"/>
        <v>6150000</v>
      </c>
      <c r="L83" s="120">
        <f t="shared" si="19"/>
        <v>6250000</v>
      </c>
      <c r="M83" s="120">
        <f t="shared" si="19"/>
        <v>6801170</v>
      </c>
      <c r="N83" s="120">
        <f t="shared" si="19"/>
        <v>5062028</v>
      </c>
      <c r="O83" s="120">
        <f t="shared" si="19"/>
        <v>7350523</v>
      </c>
      <c r="P83" s="120">
        <f t="shared" si="19"/>
        <v>6300000</v>
      </c>
      <c r="Q83" s="120">
        <f>Q29</f>
        <v>4523949</v>
      </c>
    </row>
    <row r="84" spans="1:17" ht="15.75">
      <c r="A84" s="121"/>
      <c r="B84" s="122"/>
      <c r="C84" s="123"/>
      <c r="D84" s="125"/>
      <c r="E84" s="125"/>
      <c r="F84" s="124"/>
      <c r="G84" s="125"/>
      <c r="H84" s="125"/>
      <c r="I84" s="126"/>
      <c r="J84" s="126"/>
      <c r="K84" s="126"/>
      <c r="L84" s="126"/>
      <c r="M84" s="126"/>
      <c r="N84" s="126"/>
      <c r="O84" s="126"/>
      <c r="P84" s="126"/>
      <c r="Q84" s="126"/>
    </row>
    <row r="85" spans="1:17" ht="12.75">
      <c r="A85" s="81"/>
      <c r="B85" s="81"/>
      <c r="C85" s="78"/>
      <c r="D85" s="80"/>
      <c r="E85" s="80"/>
      <c r="F85" s="79"/>
      <c r="G85" s="80"/>
      <c r="H85" s="80"/>
      <c r="I85" s="81"/>
      <c r="J85" s="81"/>
      <c r="K85" s="81"/>
      <c r="L85" s="81"/>
      <c r="M85" s="81"/>
      <c r="N85" s="81"/>
      <c r="O85" s="81"/>
      <c r="P85" s="81"/>
      <c r="Q85" s="81"/>
    </row>
    <row r="86" spans="1:17" ht="12.75">
      <c r="A86" s="81"/>
      <c r="B86" s="81"/>
      <c r="C86" s="78"/>
      <c r="D86" s="80"/>
      <c r="E86" s="80"/>
      <c r="F86" s="79"/>
      <c r="G86" s="80"/>
      <c r="H86" s="80"/>
      <c r="I86" s="81"/>
      <c r="J86" s="81"/>
      <c r="K86" s="81"/>
      <c r="L86" s="81"/>
      <c r="M86" s="81"/>
      <c r="N86" s="81"/>
      <c r="O86" s="81"/>
      <c r="P86" s="81"/>
      <c r="Q86" s="81"/>
    </row>
    <row r="87" spans="1:17" ht="12.75">
      <c r="A87" s="81"/>
      <c r="B87" s="81"/>
      <c r="C87" s="78"/>
      <c r="D87" s="80"/>
      <c r="E87" s="80"/>
      <c r="F87" s="79"/>
      <c r="G87" s="80"/>
      <c r="H87" s="80"/>
      <c r="I87" s="81"/>
      <c r="J87" s="81"/>
      <c r="K87" s="81"/>
      <c r="L87" s="81"/>
      <c r="M87" s="81"/>
      <c r="N87" s="81"/>
      <c r="O87" s="81"/>
      <c r="P87" s="81"/>
      <c r="Q87" s="81"/>
    </row>
    <row r="88" spans="4:8" ht="12.75">
      <c r="D88" s="14"/>
      <c r="E88" s="14"/>
      <c r="F88" s="34"/>
      <c r="G88" s="14"/>
      <c r="H88" s="14"/>
    </row>
  </sheetData>
  <sheetProtection/>
  <mergeCells count="84">
    <mergeCell ref="L11:L12"/>
    <mergeCell ref="K11:K12"/>
    <mergeCell ref="A9:A12"/>
    <mergeCell ref="F11:F12"/>
    <mergeCell ref="G11:G12"/>
    <mergeCell ref="E11:E12"/>
    <mergeCell ref="D11:D12"/>
    <mergeCell ref="I11:I12"/>
    <mergeCell ref="H11:H12"/>
    <mergeCell ref="D10:F10"/>
    <mergeCell ref="B15:C15"/>
    <mergeCell ref="B17:C17"/>
    <mergeCell ref="B18:B22"/>
    <mergeCell ref="B9:C12"/>
    <mergeCell ref="B35:C35"/>
    <mergeCell ref="D9:Q9"/>
    <mergeCell ref="G10:Q10"/>
    <mergeCell ref="J11:J12"/>
    <mergeCell ref="Q11:Q12"/>
    <mergeCell ref="P11:P12"/>
    <mergeCell ref="B48:C51"/>
    <mergeCell ref="B70:C70"/>
    <mergeCell ref="B71:C71"/>
    <mergeCell ref="B23:C23"/>
    <mergeCell ref="B24:C24"/>
    <mergeCell ref="B63:C63"/>
    <mergeCell ref="B36:C36"/>
    <mergeCell ref="B28:C28"/>
    <mergeCell ref="O11:O12"/>
    <mergeCell ref="N11:N12"/>
    <mergeCell ref="M11:M12"/>
    <mergeCell ref="B69:C69"/>
    <mergeCell ref="B65:C65"/>
    <mergeCell ref="B66:C66"/>
    <mergeCell ref="B67:C67"/>
    <mergeCell ref="B26:C26"/>
    <mergeCell ref="B27:C27"/>
    <mergeCell ref="D48:Q48"/>
    <mergeCell ref="B82:C82"/>
    <mergeCell ref="B83:C83"/>
    <mergeCell ref="B68:C68"/>
    <mergeCell ref="B74:C74"/>
    <mergeCell ref="B75:C75"/>
    <mergeCell ref="B76:C76"/>
    <mergeCell ref="B77:C77"/>
    <mergeCell ref="B79:C79"/>
    <mergeCell ref="B80:C80"/>
    <mergeCell ref="B81:C81"/>
    <mergeCell ref="B78:C78"/>
    <mergeCell ref="Q50:Q51"/>
    <mergeCell ref="O50:O51"/>
    <mergeCell ref="P50:P51"/>
    <mergeCell ref="I50:I51"/>
    <mergeCell ref="K50:K51"/>
    <mergeCell ref="N50:N51"/>
    <mergeCell ref="L50:L51"/>
    <mergeCell ref="B64:C64"/>
    <mergeCell ref="H50:H51"/>
    <mergeCell ref="A61:A62"/>
    <mergeCell ref="B61:B62"/>
    <mergeCell ref="B52:C52"/>
    <mergeCell ref="B59:C59"/>
    <mergeCell ref="A48:A51"/>
    <mergeCell ref="B34:C34"/>
    <mergeCell ref="B57:C57"/>
    <mergeCell ref="B60:C60"/>
    <mergeCell ref="B53:B56"/>
    <mergeCell ref="B58:C58"/>
    <mergeCell ref="A6:N8"/>
    <mergeCell ref="D49:F49"/>
    <mergeCell ref="F50:F51"/>
    <mergeCell ref="B72:C72"/>
    <mergeCell ref="B73:C73"/>
    <mergeCell ref="B29:C29"/>
    <mergeCell ref="B30:B32"/>
    <mergeCell ref="B33:C33"/>
    <mergeCell ref="B14:C14"/>
    <mergeCell ref="B13:C13"/>
    <mergeCell ref="G49:Q49"/>
    <mergeCell ref="M50:M51"/>
    <mergeCell ref="D50:D51"/>
    <mergeCell ref="E50:E51"/>
    <mergeCell ref="G50:G51"/>
    <mergeCell ref="J50:J51"/>
  </mergeCells>
  <printOptions horizontalCentered="1" verticalCentered="1"/>
  <pageMargins left="0.25" right="0.19652777777777777" top="0.4722222222222222" bottom="0.4722222222222222" header="0.5118055555555555" footer="0.5118055555555555"/>
  <pageSetup fitToHeight="2" fitToWidth="1" horizontalDpi="600" verticalDpi="600" orientation="landscape" paperSize="9" scale="48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8"/>
  <sheetViews>
    <sheetView zoomScale="90" zoomScaleNormal="90" zoomScalePageLayoutView="0" workbookViewId="0" topLeftCell="A30">
      <selection activeCell="A1" sqref="A1:P56"/>
    </sheetView>
  </sheetViews>
  <sheetFormatPr defaultColWidth="11.57421875" defaultRowHeight="12.75"/>
  <cols>
    <col min="1" max="1" width="3.7109375" style="0" customWidth="1"/>
    <col min="2" max="2" width="41.8515625" style="0" customWidth="1"/>
    <col min="3" max="4" width="11.7109375" style="0" customWidth="1"/>
    <col min="5" max="5" width="12.7109375" style="0" customWidth="1"/>
    <col min="6" max="6" width="11.7109375" style="0" customWidth="1"/>
    <col min="7" max="7" width="13.7109375" style="0" customWidth="1"/>
    <col min="8" max="8" width="12.28125" style="0" customWidth="1"/>
    <col min="9" max="9" width="11.8515625" style="0" customWidth="1"/>
    <col min="10" max="10" width="12.28125" style="0" customWidth="1"/>
    <col min="11" max="11" width="12.8515625" style="0" customWidth="1"/>
    <col min="12" max="12" width="11.7109375" style="0" customWidth="1"/>
    <col min="13" max="13" width="11.8515625" style="0" customWidth="1"/>
    <col min="14" max="14" width="12.421875" style="0" customWidth="1"/>
    <col min="15" max="16" width="12.28125" style="0" customWidth="1"/>
  </cols>
  <sheetData>
    <row r="1" spans="1:16" ht="17.25" customHeight="1">
      <c r="A1" s="128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59" t="s">
        <v>112</v>
      </c>
      <c r="M1" s="59"/>
      <c r="N1" s="129"/>
      <c r="O1" s="129"/>
      <c r="P1" s="129"/>
    </row>
    <row r="2" spans="1:16" ht="2.25" customHeight="1">
      <c r="A2" s="128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64"/>
      <c r="M2" s="65"/>
      <c r="N2" s="129"/>
      <c r="O2" s="129"/>
      <c r="P2" s="129"/>
    </row>
    <row r="3" spans="1:16" ht="17.25" customHeight="1">
      <c r="A3" s="128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69" t="s">
        <v>340</v>
      </c>
      <c r="M3" s="65"/>
      <c r="N3" s="129"/>
      <c r="O3" s="129"/>
      <c r="P3" s="129"/>
    </row>
    <row r="4" spans="1:16" ht="17.25" customHeight="1">
      <c r="A4" s="128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69" t="s">
        <v>49</v>
      </c>
      <c r="M4" s="65"/>
      <c r="N4" s="129"/>
      <c r="O4" s="129"/>
      <c r="P4" s="129"/>
    </row>
    <row r="5" spans="1:16" ht="17.25" customHeight="1">
      <c r="A5" s="128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69" t="s">
        <v>341</v>
      </c>
      <c r="M5" s="65"/>
      <c r="N5" s="129"/>
      <c r="O5" s="129"/>
      <c r="P5" s="129"/>
    </row>
    <row r="6" spans="1:16" ht="39.75" customHeight="1" thickBot="1">
      <c r="A6" s="614" t="s">
        <v>313</v>
      </c>
      <c r="B6" s="614"/>
      <c r="C6" s="614"/>
      <c r="D6" s="614"/>
      <c r="E6" s="614"/>
      <c r="F6" s="614"/>
      <c r="G6" s="614"/>
      <c r="H6" s="614"/>
      <c r="I6" s="614"/>
      <c r="J6" s="614"/>
      <c r="K6" s="614"/>
      <c r="L6" s="614"/>
      <c r="M6" s="614"/>
      <c r="N6" s="614"/>
      <c r="O6" s="614"/>
      <c r="P6" s="614"/>
    </row>
    <row r="7" spans="1:16" ht="17.25" customHeight="1" thickBot="1">
      <c r="A7" s="610" t="s">
        <v>113</v>
      </c>
      <c r="B7" s="611" t="s">
        <v>63</v>
      </c>
      <c r="C7" s="612"/>
      <c r="D7" s="612"/>
      <c r="E7" s="612"/>
      <c r="F7" s="612"/>
      <c r="G7" s="612"/>
      <c r="H7" s="612"/>
      <c r="I7" s="612"/>
      <c r="J7" s="612"/>
      <c r="K7" s="612"/>
      <c r="L7" s="612"/>
      <c r="M7" s="612"/>
      <c r="N7" s="612"/>
      <c r="O7" s="612"/>
      <c r="P7" s="612"/>
    </row>
    <row r="8" spans="1:16" ht="17.25" customHeight="1" thickBot="1">
      <c r="A8" s="610"/>
      <c r="B8" s="611"/>
      <c r="C8" s="608" t="s">
        <v>64</v>
      </c>
      <c r="D8" s="608"/>
      <c r="E8" s="609"/>
      <c r="F8" s="613" t="s">
        <v>114</v>
      </c>
      <c r="G8" s="613"/>
      <c r="H8" s="613"/>
      <c r="I8" s="613"/>
      <c r="J8" s="613"/>
      <c r="K8" s="613"/>
      <c r="L8" s="613"/>
      <c r="M8" s="613"/>
      <c r="N8" s="613"/>
      <c r="O8" s="613"/>
      <c r="P8" s="613"/>
    </row>
    <row r="9" spans="1:16" ht="17.25" customHeight="1" thickBot="1">
      <c r="A9" s="610"/>
      <c r="B9" s="611"/>
      <c r="C9" s="130">
        <v>2008</v>
      </c>
      <c r="D9" s="130">
        <v>2009</v>
      </c>
      <c r="E9" s="131">
        <v>2010</v>
      </c>
      <c r="F9" s="130">
        <v>2011</v>
      </c>
      <c r="G9" s="424">
        <v>2012</v>
      </c>
      <c r="H9" s="130">
        <v>2013</v>
      </c>
      <c r="I9" s="130">
        <v>2014</v>
      </c>
      <c r="J9" s="130">
        <v>2015</v>
      </c>
      <c r="K9" s="130">
        <v>2016</v>
      </c>
      <c r="L9" s="130">
        <v>2017</v>
      </c>
      <c r="M9" s="130">
        <v>2018</v>
      </c>
      <c r="N9" s="130">
        <v>2019</v>
      </c>
      <c r="O9" s="130">
        <v>2020</v>
      </c>
      <c r="P9" s="132">
        <v>2021</v>
      </c>
    </row>
    <row r="10" spans="1:16" ht="20.25" customHeight="1">
      <c r="A10" s="133">
        <v>1</v>
      </c>
      <c r="B10" s="134" t="s">
        <v>115</v>
      </c>
      <c r="C10" s="135">
        <v>24061046</v>
      </c>
      <c r="D10" s="135">
        <v>45737732</v>
      </c>
      <c r="E10" s="135">
        <f>D10+WPF!F52-WPF!F29</f>
        <v>47797647</v>
      </c>
      <c r="F10" s="417">
        <f>E10+WPF!G52-WPF!G29</f>
        <v>56846062</v>
      </c>
      <c r="G10" s="425">
        <f>F10+WPF!H52-WPF!H29</f>
        <v>56811022</v>
      </c>
      <c r="H10" s="135">
        <f>G10+WPF!I52-WPF!I29</f>
        <v>49544123</v>
      </c>
      <c r="I10" s="135">
        <f>H10+WPF!J52-WPF!J29</f>
        <v>42437670</v>
      </c>
      <c r="J10" s="135">
        <f>I10+WPF!K52-WPF!K29</f>
        <v>36287670</v>
      </c>
      <c r="K10" s="135">
        <f>J10+WPF!L52-WPF!L29</f>
        <v>30037670</v>
      </c>
      <c r="L10" s="135">
        <f>K10+WPF!M52-WPF!M29</f>
        <v>23236500</v>
      </c>
      <c r="M10" s="135">
        <f>L10+WPF!N52-WPF!N29</f>
        <v>18174472</v>
      </c>
      <c r="N10" s="135">
        <f>M10+WPF!O52-WPF!O29</f>
        <v>10823949</v>
      </c>
      <c r="O10" s="135">
        <f>N10+WPF!P52-WPF!P29</f>
        <v>4523949</v>
      </c>
      <c r="P10" s="135">
        <f>O10+WPF!Q52-WPF!Q29</f>
        <v>0</v>
      </c>
    </row>
    <row r="11" spans="1:16" ht="33.75" customHeight="1">
      <c r="A11" s="136" t="s">
        <v>67</v>
      </c>
      <c r="B11" s="53" t="s">
        <v>116</v>
      </c>
      <c r="C11" s="51">
        <v>0</v>
      </c>
      <c r="D11" s="51">
        <v>0</v>
      </c>
      <c r="E11" s="51">
        <v>0</v>
      </c>
      <c r="F11" s="418">
        <v>2100000</v>
      </c>
      <c r="G11" s="426">
        <v>2050000</v>
      </c>
      <c r="H11" s="51">
        <v>2000000</v>
      </c>
      <c r="I11" s="51">
        <v>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1">
        <v>0</v>
      </c>
      <c r="P11" s="51">
        <v>0</v>
      </c>
    </row>
    <row r="12" spans="1:19" ht="42" customHeight="1">
      <c r="A12" s="136" t="s">
        <v>69</v>
      </c>
      <c r="B12" s="53" t="s">
        <v>232</v>
      </c>
      <c r="C12" s="51">
        <v>0</v>
      </c>
      <c r="D12" s="51">
        <v>0</v>
      </c>
      <c r="E12" s="51">
        <v>0</v>
      </c>
      <c r="F12" s="418">
        <v>0</v>
      </c>
      <c r="G12" s="426">
        <v>50000</v>
      </c>
      <c r="H12" s="51">
        <v>50000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S12" s="35"/>
    </row>
    <row r="13" spans="1:16" ht="55.5" customHeight="1">
      <c r="A13" s="136" t="s">
        <v>117</v>
      </c>
      <c r="B13" s="53" t="s">
        <v>118</v>
      </c>
      <c r="C13" s="51">
        <v>0</v>
      </c>
      <c r="D13" s="51">
        <v>0</v>
      </c>
      <c r="E13" s="51">
        <v>0</v>
      </c>
      <c r="F13" s="418">
        <v>0</v>
      </c>
      <c r="G13" s="426">
        <v>0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51">
        <v>0</v>
      </c>
      <c r="P13" s="51">
        <v>0</v>
      </c>
    </row>
    <row r="14" spans="1:16" ht="24" customHeight="1">
      <c r="A14" s="136" t="s">
        <v>119</v>
      </c>
      <c r="B14" s="53" t="s">
        <v>120</v>
      </c>
      <c r="C14" s="51">
        <f>WPF!D29</f>
        <v>1422000</v>
      </c>
      <c r="D14" s="51">
        <f>WPF!E29</f>
        <v>3463314</v>
      </c>
      <c r="E14" s="51">
        <f>WPF!F29</f>
        <v>6940085</v>
      </c>
      <c r="F14" s="418">
        <f>WPF!G29</f>
        <v>4551585</v>
      </c>
      <c r="G14" s="426">
        <f>WPF!H29</f>
        <v>6935040</v>
      </c>
      <c r="H14" s="51">
        <f>WPF!I29</f>
        <v>7266899</v>
      </c>
      <c r="I14" s="51">
        <f>WPF!J29</f>
        <v>7106453</v>
      </c>
      <c r="J14" s="51">
        <f>WPF!K29</f>
        <v>6150000</v>
      </c>
      <c r="K14" s="51">
        <f>WPF!L29</f>
        <v>6250000</v>
      </c>
      <c r="L14" s="51">
        <f>WPF!M29</f>
        <v>6801170</v>
      </c>
      <c r="M14" s="51">
        <f>WPF!N29</f>
        <v>5062028</v>
      </c>
      <c r="N14" s="51">
        <f>WPF!O29</f>
        <v>7350523</v>
      </c>
      <c r="O14" s="51">
        <f>WPF!P29</f>
        <v>6300000</v>
      </c>
      <c r="P14" s="51">
        <f>WPF!Q29</f>
        <v>4523949</v>
      </c>
    </row>
    <row r="15" spans="1:16" ht="24" customHeight="1">
      <c r="A15" s="137" t="s">
        <v>121</v>
      </c>
      <c r="B15" s="138" t="s">
        <v>122</v>
      </c>
      <c r="C15" s="139"/>
      <c r="D15" s="139"/>
      <c r="E15" s="140">
        <v>0.1911</v>
      </c>
      <c r="F15" s="421">
        <f>1/3*((WPF!D14+WPF!D16-'Prognoza długu'!C25)/WPF!D13+(WPF!E14+WPF!E16-'Prognoza długu'!D25)/WPF!E13+(WPF!F14+WPF!F16-'Prognoza długu'!E25)/WPF!F13)</f>
        <v>0.1291721492426357</v>
      </c>
      <c r="G15" s="427">
        <f>1/3*((WPF!E14+WPF!E16-'Prognoza długu'!D25)/WPF!E13+(WPF!F14+WPF!F16-'Prognoza długu'!E25)/WPF!F13+(WPF!G14+WPF!G16-'Prognoza długu'!F25)/WPF!G13)</f>
        <v>0.12224780731270857</v>
      </c>
      <c r="H15" s="140">
        <f>1/3*((WPF!F14+WPF!F16-'Prognoza długu'!E25)/WPF!F13+(WPF!G14+WPF!G16-'Prognoza długu'!F25)/WPF!G13+(WPF!H14+WPF!H16-'Prognoza długu'!G25)/WPF!H13)</f>
        <v>0.19070115094954465</v>
      </c>
      <c r="I15" s="140">
        <f>1/3*((WPF!G14+WPF!G16-'Prognoza długu'!F25)/WPF!G13+(WPF!H14+WPF!H16-'Prognoza długu'!G25)/WPF!H13+(WPF!I14+WPF!I16-'Prognoza długu'!H25)/WPF!I13)</f>
        <v>0.2675770915217289</v>
      </c>
      <c r="J15" s="140">
        <f>1/3*((WPF!H14+WPF!H16-'Prognoza długu'!G25)/WPF!H13+(WPF!I14+WPF!I16-'Prognoza długu'!H25)/WPF!I13+(WPF!J14+WPF!J16-'Prognoza długu'!I25)/WPF!J13)</f>
        <v>0.2892813256672331</v>
      </c>
      <c r="K15" s="140">
        <f>1/3*((WPF!I14+WPF!I16-'Prognoza długu'!H25)/WPF!I13+(WPF!J14+WPF!J16-'Prognoza długu'!I25)/WPF!J13+(WPF!K14+WPF!K16-'Prognoza długu'!J25)/WPF!K13)</f>
        <v>0.27849445809155227</v>
      </c>
      <c r="L15" s="140">
        <f>1/3*((WPF!J14+WPF!J16-'Prognoza długu'!I25)/WPF!J13+(WPF!K14+WPF!K16-'Prognoza długu'!J25)/WPF!K13+(WPF!L14+WPF!L16-'Prognoza długu'!K25)/WPF!L13)</f>
        <v>0.2424705083936876</v>
      </c>
      <c r="M15" s="140">
        <f>1/3*((WPF!K14+WPF!K16-'Prognoza długu'!J25)/WPF!K13+(WPF!L14+WPF!L16-'Prognoza długu'!K25)/WPF!L13+(WPF!M14+WPF!M16-'Prognoza długu'!L25)/WPF!M13)</f>
        <v>0.22671082021363892</v>
      </c>
      <c r="N15" s="140">
        <f>1/3*((WPF!L14+WPF!L16-'Prognoza długu'!K25)/WPF!L13+(WPF!M14+WPF!M16-'Prognoza długu'!L25)/WPF!M13+(WPF!N14+WPF!N16-'Prognoza długu'!M25)/WPF!N13)</f>
        <v>0.2048225586267341</v>
      </c>
      <c r="O15" s="140">
        <f>1/3*((WPF!M14+WPF!M16-'Prognoza długu'!L25)/WPF!M13+(WPF!N14+WPF!N16-'Prognoza długu'!M25)/WPF!N13+(WPF!O14+WPF!O16-'Prognoza długu'!N25)/WPF!O13)</f>
        <v>0.2171490773932484</v>
      </c>
      <c r="P15" s="140">
        <f>1/3*((WPF!N14+WPF!N16-'Prognoza długu'!M25)/WPF!N13+(WPF!O14+WPF!O16-'Prognoza długu'!N25)/WPF!O13+(WPF!P14+WPF!P16-'Prognoza długu'!O25)/WPF!P13)</f>
        <v>0.22294167223691674</v>
      </c>
    </row>
    <row r="16" spans="1:16" ht="30.75" customHeight="1">
      <c r="A16" s="137" t="s">
        <v>123</v>
      </c>
      <c r="B16" s="138" t="s">
        <v>124</v>
      </c>
      <c r="C16" s="139" t="s">
        <v>82</v>
      </c>
      <c r="D16" s="139" t="s">
        <v>82</v>
      </c>
      <c r="E16" s="140">
        <f>(WPF!F33+WPF!F29)/WPF!F13</f>
        <v>0.10653694792951553</v>
      </c>
      <c r="F16" s="421">
        <f>(WPF!G33+WPF!G29)/WPF!G13</f>
        <v>0.06023511077561799</v>
      </c>
      <c r="G16" s="427">
        <f>(WPF!H33+WPF!H29)/WPF!H13</f>
        <v>0.052243776003471465</v>
      </c>
      <c r="H16" s="140">
        <f>(WPF!I33+WPF!I29)/WPF!I13</f>
        <v>0.06225059202772225</v>
      </c>
      <c r="I16" s="140">
        <f>(WPF!J33+WPF!J29)/WPF!J13</f>
        <v>0.08593919323309304</v>
      </c>
      <c r="J16" s="140">
        <f>(WPF!K33+WPF!K29)/WPF!K13</f>
        <v>0.06669593724777739</v>
      </c>
      <c r="K16" s="140">
        <f>(WPF!L33+WPF!L29)/WPF!L13</f>
        <v>0.06762204378541244</v>
      </c>
      <c r="L16" s="140">
        <f>(WPF!M33+WPF!M29)/WPF!M13</f>
        <v>0.06750839351544803</v>
      </c>
      <c r="M16" s="140">
        <f>(WPF!N33+WPF!N29)/WPF!N13</f>
        <v>0.04909188090104212</v>
      </c>
      <c r="N16" s="140">
        <f>(WPF!O33+WPF!O29)/WPF!O13</f>
        <v>0.060479011713379424</v>
      </c>
      <c r="O16" s="140">
        <f>(WPF!P33+WPF!P29)/WPF!P13</f>
        <v>0.04811166930487907</v>
      </c>
      <c r="P16" s="140">
        <f>(WPF!Q33+WPF!Q29)/WPF!Q13</f>
        <v>0.03217987218700601</v>
      </c>
    </row>
    <row r="17" spans="1:16" ht="35.25" customHeight="1">
      <c r="A17" s="137" t="s">
        <v>125</v>
      </c>
      <c r="B17" s="141" t="s">
        <v>126</v>
      </c>
      <c r="C17" s="139"/>
      <c r="D17" s="139"/>
      <c r="E17" s="140">
        <f>E15-E16</f>
        <v>0.08456305207048447</v>
      </c>
      <c r="F17" s="421">
        <f aca="true" t="shared" si="0" ref="F17:O17">F15-F16</f>
        <v>0.06893703846701771</v>
      </c>
      <c r="G17" s="427">
        <f t="shared" si="0"/>
        <v>0.0700040313092371</v>
      </c>
      <c r="H17" s="140">
        <f t="shared" si="0"/>
        <v>0.1284505589218224</v>
      </c>
      <c r="I17" s="140">
        <f t="shared" si="0"/>
        <v>0.18163789828863589</v>
      </c>
      <c r="J17" s="140">
        <f t="shared" si="0"/>
        <v>0.2225853884194557</v>
      </c>
      <c r="K17" s="140">
        <f t="shared" si="0"/>
        <v>0.21087241430613984</v>
      </c>
      <c r="L17" s="140">
        <f t="shared" si="0"/>
        <v>0.1749621148782396</v>
      </c>
      <c r="M17" s="140">
        <f t="shared" si="0"/>
        <v>0.1776189393125968</v>
      </c>
      <c r="N17" s="140">
        <f t="shared" si="0"/>
        <v>0.14434354691335466</v>
      </c>
      <c r="O17" s="140">
        <f t="shared" si="0"/>
        <v>0.16903740808836934</v>
      </c>
      <c r="P17" s="140">
        <f>P15-P16</f>
        <v>0.19076180004991072</v>
      </c>
    </row>
    <row r="18" spans="1:16" ht="30" customHeight="1">
      <c r="A18" s="136" t="s">
        <v>127</v>
      </c>
      <c r="B18" s="53" t="s">
        <v>128</v>
      </c>
      <c r="C18" s="142">
        <f>WPF!D28/WPF!D13%</f>
        <v>2.3282594878968568</v>
      </c>
      <c r="D18" s="142">
        <f>WPF!E28/WPF!E13%</f>
        <v>5.510659630018438</v>
      </c>
      <c r="E18" s="142">
        <f>WPF!F28/WPF!F13%</f>
        <v>10.653694792951551</v>
      </c>
      <c r="F18" s="419">
        <f>WPF!G28/WPF!G13%</f>
        <v>6.0235110775618</v>
      </c>
      <c r="G18" s="428">
        <f>WPF!H28/WPF!H13%</f>
        <v>5.224377600347147</v>
      </c>
      <c r="H18" s="142">
        <f>WPF!I28/WPF!I13%</f>
        <v>6.225059202772225</v>
      </c>
      <c r="I18" s="142"/>
      <c r="J18" s="142"/>
      <c r="K18" s="142"/>
      <c r="L18" s="142"/>
      <c r="M18" s="142"/>
      <c r="N18" s="142"/>
      <c r="O18" s="142"/>
      <c r="P18" s="142"/>
    </row>
    <row r="19" spans="1:16" ht="29.25" customHeight="1">
      <c r="A19" s="136" t="s">
        <v>129</v>
      </c>
      <c r="B19" s="53" t="s">
        <v>130</v>
      </c>
      <c r="C19" s="142">
        <f>C10/WPF!D13%</f>
        <v>29.73558673968137</v>
      </c>
      <c r="D19" s="142">
        <f>D10/WPF!E13%</f>
        <v>55.982746471274986</v>
      </c>
      <c r="E19" s="142">
        <f>E10/WPF!F13%</f>
        <v>56.16915056018265</v>
      </c>
      <c r="F19" s="419">
        <f>F10/WPF!G13%</f>
        <v>49.7435679254916</v>
      </c>
      <c r="G19" s="428">
        <f>G10/WPF!H13%</f>
        <v>32.146050147637744</v>
      </c>
      <c r="H19" s="142">
        <f>H10/WPF!I13%</f>
        <v>29.550612079191865</v>
      </c>
      <c r="I19" s="142"/>
      <c r="J19" s="142"/>
      <c r="K19" s="142"/>
      <c r="L19" s="142"/>
      <c r="M19" s="142"/>
      <c r="N19" s="142"/>
      <c r="O19" s="142"/>
      <c r="P19" s="142"/>
    </row>
    <row r="20" spans="1:16" ht="17.25" customHeight="1">
      <c r="A20" s="74" t="s">
        <v>131</v>
      </c>
      <c r="B20" s="143" t="s">
        <v>132</v>
      </c>
      <c r="C20" s="54">
        <f aca="true" t="shared" si="1" ref="C20:O20">C21+C22</f>
        <v>80916668</v>
      </c>
      <c r="D20" s="54">
        <f t="shared" si="1"/>
        <v>81699693</v>
      </c>
      <c r="E20" s="54">
        <f t="shared" si="1"/>
        <v>85095905</v>
      </c>
      <c r="F20" s="420">
        <f t="shared" si="1"/>
        <v>114278216</v>
      </c>
      <c r="G20" s="429">
        <f t="shared" si="1"/>
        <v>176727846</v>
      </c>
      <c r="H20" s="54">
        <f t="shared" si="1"/>
        <v>167658534</v>
      </c>
      <c r="I20" s="54">
        <f t="shared" si="1"/>
        <v>114730586</v>
      </c>
      <c r="J20" s="54">
        <f t="shared" si="1"/>
        <v>129258338</v>
      </c>
      <c r="K20" s="144">
        <f t="shared" si="1"/>
        <v>124848430</v>
      </c>
      <c r="L20" s="54">
        <f t="shared" si="1"/>
        <v>129078216</v>
      </c>
      <c r="M20" s="54">
        <f t="shared" si="1"/>
        <v>134530581</v>
      </c>
      <c r="N20" s="54">
        <f t="shared" si="1"/>
        <v>139658756</v>
      </c>
      <c r="O20" s="54">
        <f t="shared" si="1"/>
        <v>143547325</v>
      </c>
      <c r="P20" s="54">
        <f>P21+P22</f>
        <v>146658641</v>
      </c>
    </row>
    <row r="21" spans="1:16" ht="16.5" customHeight="1">
      <c r="A21" s="136" t="s">
        <v>67</v>
      </c>
      <c r="B21" s="53" t="s">
        <v>133</v>
      </c>
      <c r="C21" s="51">
        <f>WPF!D14</f>
        <v>80901768</v>
      </c>
      <c r="D21" s="51">
        <f>WPF!E14</f>
        <v>80665439</v>
      </c>
      <c r="E21" s="51">
        <f>WPF!F14</f>
        <v>84339995</v>
      </c>
      <c r="F21" s="418">
        <f>WPF!G14</f>
        <v>98522397</v>
      </c>
      <c r="G21" s="426">
        <f>WPF!H14</f>
        <v>104265432</v>
      </c>
      <c r="H21" s="51">
        <f>WPF!I14</f>
        <v>110396033</v>
      </c>
      <c r="I21" s="51">
        <f>WPF!J14</f>
        <v>114730586</v>
      </c>
      <c r="J21" s="51">
        <f>WPF!K14</f>
        <v>120258338</v>
      </c>
      <c r="K21" s="145">
        <f>WPF!L14</f>
        <v>124848430</v>
      </c>
      <c r="L21" s="51">
        <f>WPF!M14</f>
        <v>129078216</v>
      </c>
      <c r="M21" s="51">
        <f>WPF!N14</f>
        <v>134530581</v>
      </c>
      <c r="N21" s="51">
        <f>WPF!O14</f>
        <v>139658756</v>
      </c>
      <c r="O21" s="51">
        <f>WPF!P14</f>
        <v>143547325</v>
      </c>
      <c r="P21" s="51">
        <f>WPF!Q14</f>
        <v>146658641</v>
      </c>
    </row>
    <row r="22" spans="1:16" ht="16.5" customHeight="1">
      <c r="A22" s="136" t="s">
        <v>69</v>
      </c>
      <c r="B22" s="53" t="s">
        <v>70</v>
      </c>
      <c r="C22" s="51">
        <f>WPF!D15</f>
        <v>14900</v>
      </c>
      <c r="D22" s="51">
        <f>WPF!E15</f>
        <v>1034254</v>
      </c>
      <c r="E22" s="51">
        <f>WPF!F15</f>
        <v>755910</v>
      </c>
      <c r="F22" s="418">
        <f>WPF!G15</f>
        <v>15755819</v>
      </c>
      <c r="G22" s="426">
        <f>WPF!H15</f>
        <v>72462414</v>
      </c>
      <c r="H22" s="51">
        <f>WPF!I15</f>
        <v>57262501</v>
      </c>
      <c r="I22" s="51">
        <f>WPF!J15</f>
        <v>0</v>
      </c>
      <c r="J22" s="51">
        <f>WPF!K15</f>
        <v>9000000</v>
      </c>
      <c r="K22" s="51">
        <f>WPF!L15</f>
        <v>0</v>
      </c>
      <c r="L22" s="51">
        <f>WPF!M15</f>
        <v>0</v>
      </c>
      <c r="M22" s="51">
        <f>WPF!N15</f>
        <v>0</v>
      </c>
      <c r="N22" s="51">
        <f>WPF!O15</f>
        <v>0</v>
      </c>
      <c r="O22" s="51">
        <f>WPF!P15</f>
        <v>0</v>
      </c>
      <c r="P22" s="51">
        <f>WPF!Q15</f>
        <v>0</v>
      </c>
    </row>
    <row r="23" spans="1:16" ht="16.5" customHeight="1">
      <c r="A23" s="136" t="s">
        <v>71</v>
      </c>
      <c r="B23" s="53" t="s">
        <v>73</v>
      </c>
      <c r="C23" s="51">
        <f>WPF!D16</f>
        <v>0</v>
      </c>
      <c r="D23" s="51">
        <f>WPF!E16</f>
        <v>197354</v>
      </c>
      <c r="E23" s="51">
        <f>WPF!F16</f>
        <v>255910</v>
      </c>
      <c r="F23" s="418">
        <f>WPF!G16</f>
        <v>13500000</v>
      </c>
      <c r="G23" s="426">
        <f>WPF!H16</f>
        <v>52000000</v>
      </c>
      <c r="H23" s="51">
        <f>WPF!I16</f>
        <v>26150000</v>
      </c>
      <c r="I23" s="51">
        <f>WPF!J16</f>
        <v>0</v>
      </c>
      <c r="J23" s="51">
        <f>WPF!K16</f>
        <v>0</v>
      </c>
      <c r="K23" s="51">
        <f>WPF!L16</f>
        <v>0</v>
      </c>
      <c r="L23" s="51">
        <f>WPF!M16</f>
        <v>0</v>
      </c>
      <c r="M23" s="51">
        <f>WPF!N16</f>
        <v>0</v>
      </c>
      <c r="N23" s="51">
        <f>WPF!O16</f>
        <v>0</v>
      </c>
      <c r="O23" s="51">
        <f>WPF!P16</f>
        <v>0</v>
      </c>
      <c r="P23" s="51">
        <f>WPF!Q16</f>
        <v>0</v>
      </c>
    </row>
    <row r="24" spans="1:16" ht="16.5" customHeight="1">
      <c r="A24" s="74" t="s">
        <v>134</v>
      </c>
      <c r="B24" s="143" t="s">
        <v>135</v>
      </c>
      <c r="C24" s="54">
        <f aca="true" t="shared" si="2" ref="C24:H24">C25+C26</f>
        <v>107175456.57</v>
      </c>
      <c r="D24" s="54">
        <f t="shared" si="2"/>
        <v>105850665</v>
      </c>
      <c r="E24" s="54">
        <f t="shared" si="2"/>
        <v>87934218</v>
      </c>
      <c r="F24" s="420">
        <f>F25+F26</f>
        <v>123753708</v>
      </c>
      <c r="G24" s="429">
        <f t="shared" si="2"/>
        <v>176727846</v>
      </c>
      <c r="H24" s="54">
        <f t="shared" si="2"/>
        <v>160391635</v>
      </c>
      <c r="I24" s="54">
        <f aca="true" t="shared" si="3" ref="I24:P24">I25+I26</f>
        <v>107624133</v>
      </c>
      <c r="J24" s="54">
        <f t="shared" si="3"/>
        <v>123108338</v>
      </c>
      <c r="K24" s="54">
        <f t="shared" si="3"/>
        <v>118598430</v>
      </c>
      <c r="L24" s="54">
        <f t="shared" si="3"/>
        <v>122277046</v>
      </c>
      <c r="M24" s="54">
        <f t="shared" si="3"/>
        <v>129468553.26</v>
      </c>
      <c r="N24" s="54">
        <f t="shared" si="3"/>
        <v>132308232.54</v>
      </c>
      <c r="O24" s="54">
        <f t="shared" si="3"/>
        <v>137247325.43</v>
      </c>
      <c r="P24" s="54">
        <f t="shared" si="3"/>
        <v>142134692.3225</v>
      </c>
    </row>
    <row r="25" spans="1:16" ht="17.25" customHeight="1">
      <c r="A25" s="136" t="s">
        <v>67</v>
      </c>
      <c r="B25" s="53" t="s">
        <v>136</v>
      </c>
      <c r="C25" s="51">
        <f>WPF!D17+WPF!D33</f>
        <v>63862781</v>
      </c>
      <c r="D25" s="51">
        <f>WPF!E17+WPF!E33</f>
        <v>72590083</v>
      </c>
      <c r="E25" s="51">
        <f>WPF!F17+WPF!F33</f>
        <v>78155472</v>
      </c>
      <c r="F25" s="418">
        <f>WPF!G17+WPF!G33</f>
        <v>90332223</v>
      </c>
      <c r="G25" s="426">
        <f>WPF!H17+WPF!H33</f>
        <v>102077569</v>
      </c>
      <c r="H25" s="51">
        <f>WPF!I17+WPF!I33</f>
        <v>85190174</v>
      </c>
      <c r="I25" s="51">
        <f>WPF!J17+WPF!J33</f>
        <v>85484133</v>
      </c>
      <c r="J25" s="51">
        <f>WPF!K17+WPF!K33</f>
        <v>84808338</v>
      </c>
      <c r="K25" s="51">
        <f>WPF!L17+WPF!L33</f>
        <v>100098430</v>
      </c>
      <c r="L25" s="51">
        <f>WPF!M17+WPF!M33</f>
        <v>102277046</v>
      </c>
      <c r="M25" s="51">
        <f>WPF!N17+WPF!N33</f>
        <v>106468553.26</v>
      </c>
      <c r="N25" s="51">
        <f>WPF!O17+WPF!O33</f>
        <v>106808232.54</v>
      </c>
      <c r="O25" s="51">
        <f>WPF!P17+WPF!P33</f>
        <v>111247325.43</v>
      </c>
      <c r="P25" s="51">
        <f>WPF!Q17+WPF!Q33</f>
        <v>114134692.3225</v>
      </c>
    </row>
    <row r="26" spans="1:16" ht="17.25" customHeight="1">
      <c r="A26" s="136" t="s">
        <v>69</v>
      </c>
      <c r="B26" s="53" t="s">
        <v>137</v>
      </c>
      <c r="C26" s="51">
        <f>WPF!D36</f>
        <v>43312675.57</v>
      </c>
      <c r="D26" s="51">
        <f>WPF!E36</f>
        <v>33260582</v>
      </c>
      <c r="E26" s="51">
        <f>WPF!F36</f>
        <v>9778746</v>
      </c>
      <c r="F26" s="418">
        <f>WPF!G36</f>
        <v>33421485</v>
      </c>
      <c r="G26" s="426">
        <f>WPF!H36</f>
        <v>74650277</v>
      </c>
      <c r="H26" s="51">
        <f>WPF!I36</f>
        <v>75201461</v>
      </c>
      <c r="I26" s="51">
        <f>WPF!J36</f>
        <v>22140000</v>
      </c>
      <c r="J26" s="51">
        <f>WPF!K36</f>
        <v>38300000</v>
      </c>
      <c r="K26" s="51">
        <f>WPF!L36</f>
        <v>18500000</v>
      </c>
      <c r="L26" s="51">
        <f>WPF!M36</f>
        <v>20000000</v>
      </c>
      <c r="M26" s="51">
        <f>WPF!N36</f>
        <v>23000000</v>
      </c>
      <c r="N26" s="51">
        <f>WPF!O36</f>
        <v>25500000</v>
      </c>
      <c r="O26" s="51">
        <f>WPF!P36</f>
        <v>26000000</v>
      </c>
      <c r="P26" s="51">
        <f>WPF!Q36</f>
        <v>28000000</v>
      </c>
    </row>
    <row r="27" spans="1:16" ht="31.5" customHeight="1">
      <c r="A27" s="74" t="s">
        <v>138</v>
      </c>
      <c r="B27" s="143" t="s">
        <v>139</v>
      </c>
      <c r="C27" s="54">
        <f aca="true" t="shared" si="4" ref="C27:H27">C20-C24</f>
        <v>-26258788.569999993</v>
      </c>
      <c r="D27" s="54">
        <f t="shared" si="4"/>
        <v>-24150972</v>
      </c>
      <c r="E27" s="54">
        <f t="shared" si="4"/>
        <v>-2838313</v>
      </c>
      <c r="F27" s="420">
        <f t="shared" si="4"/>
        <v>-9475492</v>
      </c>
      <c r="G27" s="429">
        <f t="shared" si="4"/>
        <v>0</v>
      </c>
      <c r="H27" s="54">
        <f t="shared" si="4"/>
        <v>7266899</v>
      </c>
      <c r="I27" s="54">
        <f aca="true" t="shared" si="5" ref="I27:P27">I20-I24</f>
        <v>7106453</v>
      </c>
      <c r="J27" s="54">
        <f t="shared" si="5"/>
        <v>6150000</v>
      </c>
      <c r="K27" s="54">
        <f t="shared" si="5"/>
        <v>6250000</v>
      </c>
      <c r="L27" s="54">
        <f t="shared" si="5"/>
        <v>6801170</v>
      </c>
      <c r="M27" s="54">
        <f t="shared" si="5"/>
        <v>5062027.739999995</v>
      </c>
      <c r="N27" s="54">
        <f t="shared" si="5"/>
        <v>7350523.459999993</v>
      </c>
      <c r="O27" s="54">
        <f t="shared" si="5"/>
        <v>6299999.569999993</v>
      </c>
      <c r="P27" s="54">
        <f t="shared" si="5"/>
        <v>4523948.67750001</v>
      </c>
    </row>
    <row r="28" spans="1:16" ht="15.75" customHeight="1">
      <c r="A28" s="74" t="s">
        <v>140</v>
      </c>
      <c r="B28" s="143" t="s">
        <v>212</v>
      </c>
      <c r="C28" s="54">
        <f>SUM(C29:C33)</f>
        <v>26258789</v>
      </c>
      <c r="D28" s="54">
        <f>SUM(D29:D33)</f>
        <v>24150972</v>
      </c>
      <c r="E28" s="54">
        <f>SUM(E29:E33)</f>
        <v>2838313</v>
      </c>
      <c r="F28" s="420">
        <f>SUM(F29:F33)</f>
        <v>9475492</v>
      </c>
      <c r="G28" s="429"/>
      <c r="H28" s="54"/>
      <c r="I28" s="54"/>
      <c r="J28" s="54"/>
      <c r="K28" s="54"/>
      <c r="L28" s="54"/>
      <c r="M28" s="54"/>
      <c r="N28" s="54"/>
      <c r="O28" s="54"/>
      <c r="P28" s="54"/>
    </row>
    <row r="29" spans="1:16" ht="15.75" customHeight="1">
      <c r="A29" s="75" t="s">
        <v>67</v>
      </c>
      <c r="B29" s="56" t="s">
        <v>90</v>
      </c>
      <c r="C29" s="51">
        <v>7546170</v>
      </c>
      <c r="D29" s="51">
        <v>6330000</v>
      </c>
      <c r="E29" s="51"/>
      <c r="F29" s="418">
        <v>2100000</v>
      </c>
      <c r="G29" s="429"/>
      <c r="H29" s="54"/>
      <c r="I29" s="54"/>
      <c r="J29" s="54"/>
      <c r="K29" s="54"/>
      <c r="L29" s="54"/>
      <c r="M29" s="54"/>
      <c r="N29" s="54"/>
      <c r="O29" s="54"/>
      <c r="P29" s="54"/>
    </row>
    <row r="30" spans="1:16" ht="15.75" customHeight="1">
      <c r="A30" s="75" t="s">
        <v>69</v>
      </c>
      <c r="B30" s="56" t="s">
        <v>91</v>
      </c>
      <c r="C30" s="51">
        <v>4000000</v>
      </c>
      <c r="D30" s="51">
        <v>4810000</v>
      </c>
      <c r="E30" s="51"/>
      <c r="F30" s="418"/>
      <c r="G30" s="429"/>
      <c r="H30" s="54"/>
      <c r="I30" s="54"/>
      <c r="J30" s="54"/>
      <c r="K30" s="54"/>
      <c r="L30" s="54"/>
      <c r="M30" s="54"/>
      <c r="N30" s="54"/>
      <c r="O30" s="54"/>
      <c r="P30" s="54"/>
    </row>
    <row r="31" spans="1:16" ht="15.75" customHeight="1">
      <c r="A31" s="75" t="s">
        <v>77</v>
      </c>
      <c r="B31" s="56" t="s">
        <v>210</v>
      </c>
      <c r="C31" s="51">
        <v>2699265</v>
      </c>
      <c r="D31" s="51"/>
      <c r="E31" s="51"/>
      <c r="F31" s="418"/>
      <c r="G31" s="429"/>
      <c r="H31" s="54"/>
      <c r="I31" s="54"/>
      <c r="J31" s="54"/>
      <c r="K31" s="54"/>
      <c r="L31" s="54"/>
      <c r="M31" s="54"/>
      <c r="N31" s="54"/>
      <c r="O31" s="54"/>
      <c r="P31" s="54"/>
    </row>
    <row r="32" spans="1:16" ht="57" customHeight="1">
      <c r="A32" s="75" t="s">
        <v>80</v>
      </c>
      <c r="B32" s="72" t="s">
        <v>99</v>
      </c>
      <c r="C32" s="51">
        <v>12013354</v>
      </c>
      <c r="D32" s="51"/>
      <c r="E32" s="51"/>
      <c r="F32" s="418">
        <v>375492</v>
      </c>
      <c r="G32" s="429"/>
      <c r="H32" s="54"/>
      <c r="I32" s="54"/>
      <c r="J32" s="54"/>
      <c r="K32" s="54"/>
      <c r="L32" s="54"/>
      <c r="M32" s="54"/>
      <c r="N32" s="54"/>
      <c r="O32" s="54"/>
      <c r="P32" s="54"/>
    </row>
    <row r="33" spans="1:16" ht="15.75" customHeight="1">
      <c r="A33" s="75" t="s">
        <v>141</v>
      </c>
      <c r="B33" s="56" t="s">
        <v>98</v>
      </c>
      <c r="C33" s="51"/>
      <c r="D33" s="51">
        <v>13010972</v>
      </c>
      <c r="E33" s="51">
        <v>2838313</v>
      </c>
      <c r="F33" s="418">
        <v>7000000</v>
      </c>
      <c r="G33" s="429"/>
      <c r="H33" s="54"/>
      <c r="I33" s="54"/>
      <c r="J33" s="54"/>
      <c r="K33" s="54"/>
      <c r="L33" s="54"/>
      <c r="M33" s="54"/>
      <c r="N33" s="54"/>
      <c r="O33" s="54"/>
      <c r="P33" s="54"/>
    </row>
    <row r="34" spans="1:16" ht="15.75" customHeight="1">
      <c r="A34" s="221"/>
      <c r="B34" s="222"/>
      <c r="C34" s="223"/>
      <c r="D34" s="223"/>
      <c r="E34" s="223"/>
      <c r="F34" s="223"/>
      <c r="G34" s="224"/>
      <c r="H34" s="224"/>
      <c r="I34" s="224"/>
      <c r="J34" s="224"/>
      <c r="K34" s="224"/>
      <c r="L34" s="224"/>
      <c r="M34" s="224"/>
      <c r="N34" s="224"/>
      <c r="O34" s="224"/>
      <c r="P34" s="224"/>
    </row>
    <row r="35" spans="1:16" ht="30" customHeight="1">
      <c r="A35" s="225"/>
      <c r="B35" s="226"/>
      <c r="C35" s="227"/>
      <c r="D35" s="227"/>
      <c r="E35" s="227"/>
      <c r="F35" s="227"/>
      <c r="G35" s="228"/>
      <c r="H35" s="228"/>
      <c r="I35" s="228"/>
      <c r="J35" s="228"/>
      <c r="K35" s="228"/>
      <c r="L35" s="228"/>
      <c r="M35" s="228"/>
      <c r="N35" s="228"/>
      <c r="O35" s="228"/>
      <c r="P35" s="228"/>
    </row>
    <row r="36" spans="1:16" ht="30.75" customHeight="1">
      <c r="A36" s="225"/>
      <c r="B36" s="226"/>
      <c r="C36" s="227"/>
      <c r="D36" s="227"/>
      <c r="E36" s="227"/>
      <c r="F36" s="227"/>
      <c r="G36" s="228"/>
      <c r="H36" s="228"/>
      <c r="I36" s="228"/>
      <c r="J36" s="228"/>
      <c r="K36" s="228"/>
      <c r="L36" s="228"/>
      <c r="M36" s="228"/>
      <c r="N36" s="228"/>
      <c r="O36" s="228"/>
      <c r="P36" s="228"/>
    </row>
    <row r="37" spans="1:16" ht="15.75" customHeight="1">
      <c r="A37" s="225"/>
      <c r="B37" s="226"/>
      <c r="C37" s="227"/>
      <c r="D37" s="227"/>
      <c r="E37" s="227"/>
      <c r="F37" s="227"/>
      <c r="G37" s="228"/>
      <c r="H37" s="228"/>
      <c r="I37" s="228"/>
      <c r="J37" s="228"/>
      <c r="K37" s="228"/>
      <c r="L37" s="228"/>
      <c r="M37" s="228"/>
      <c r="N37" s="228"/>
      <c r="O37" s="228"/>
      <c r="P37" s="228"/>
    </row>
    <row r="38" spans="1:16" ht="15.75" customHeight="1" thickBot="1">
      <c r="A38" s="225"/>
      <c r="B38" s="226"/>
      <c r="C38" s="227"/>
      <c r="D38" s="227"/>
      <c r="E38" s="227"/>
      <c r="F38" s="227"/>
      <c r="G38" s="228"/>
      <c r="H38" s="228"/>
      <c r="I38" s="228"/>
      <c r="J38" s="228"/>
      <c r="K38" s="228"/>
      <c r="L38" s="228"/>
      <c r="M38" s="228"/>
      <c r="N38" s="228"/>
      <c r="O38" s="228"/>
      <c r="P38" s="228"/>
    </row>
    <row r="39" spans="1:16" ht="15.75" customHeight="1" thickBot="1">
      <c r="A39" s="610" t="s">
        <v>113</v>
      </c>
      <c r="B39" s="611" t="s">
        <v>63</v>
      </c>
      <c r="C39" s="612"/>
      <c r="D39" s="612"/>
      <c r="E39" s="612"/>
      <c r="F39" s="612"/>
      <c r="G39" s="612"/>
      <c r="H39" s="612"/>
      <c r="I39" s="612"/>
      <c r="J39" s="612"/>
      <c r="K39" s="612"/>
      <c r="L39" s="612"/>
      <c r="M39" s="612"/>
      <c r="N39" s="612"/>
      <c r="O39" s="612"/>
      <c r="P39" s="612"/>
    </row>
    <row r="40" spans="1:16" ht="15.75" customHeight="1" thickBot="1">
      <c r="A40" s="610"/>
      <c r="B40" s="611"/>
      <c r="C40" s="608" t="s">
        <v>64</v>
      </c>
      <c r="D40" s="608"/>
      <c r="E40" s="609"/>
      <c r="F40" s="613" t="s">
        <v>114</v>
      </c>
      <c r="G40" s="613"/>
      <c r="H40" s="613"/>
      <c r="I40" s="613"/>
      <c r="J40" s="613"/>
      <c r="K40" s="613"/>
      <c r="L40" s="613"/>
      <c r="M40" s="613"/>
      <c r="N40" s="613"/>
      <c r="O40" s="613"/>
      <c r="P40" s="613"/>
    </row>
    <row r="41" spans="1:16" ht="15.75" customHeight="1" thickBot="1">
      <c r="A41" s="610"/>
      <c r="B41" s="611"/>
      <c r="C41" s="130">
        <v>2008</v>
      </c>
      <c r="D41" s="130">
        <v>2009</v>
      </c>
      <c r="E41" s="131">
        <v>2010</v>
      </c>
      <c r="F41" s="422">
        <v>2011</v>
      </c>
      <c r="G41" s="424">
        <v>2012</v>
      </c>
      <c r="H41" s="130">
        <v>2013</v>
      </c>
      <c r="I41" s="130">
        <v>2014</v>
      </c>
      <c r="J41" s="130">
        <v>2015</v>
      </c>
      <c r="K41" s="130">
        <v>2016</v>
      </c>
      <c r="L41" s="130">
        <v>2017</v>
      </c>
      <c r="M41" s="130">
        <v>2018</v>
      </c>
      <c r="N41" s="130">
        <v>2019</v>
      </c>
      <c r="O41" s="130">
        <v>2020</v>
      </c>
      <c r="P41" s="132">
        <v>2021</v>
      </c>
    </row>
    <row r="42" spans="1:16" ht="14.25" customHeight="1">
      <c r="A42" s="74" t="s">
        <v>142</v>
      </c>
      <c r="B42" s="143" t="s">
        <v>213</v>
      </c>
      <c r="C42" s="54"/>
      <c r="D42" s="54"/>
      <c r="E42" s="54"/>
      <c r="F42" s="420"/>
      <c r="G42" s="429"/>
      <c r="H42" s="54">
        <f aca="true" t="shared" si="6" ref="H42:O42">SUM(H43:H45)</f>
        <v>7266899</v>
      </c>
      <c r="I42" s="54">
        <f t="shared" si="6"/>
        <v>7106453</v>
      </c>
      <c r="J42" s="54">
        <f t="shared" si="6"/>
        <v>6150000</v>
      </c>
      <c r="K42" s="54">
        <f t="shared" si="6"/>
        <v>6250000</v>
      </c>
      <c r="L42" s="54">
        <f t="shared" si="6"/>
        <v>6801170</v>
      </c>
      <c r="M42" s="54">
        <f t="shared" si="6"/>
        <v>5062028</v>
      </c>
      <c r="N42" s="54">
        <f t="shared" si="6"/>
        <v>7350523</v>
      </c>
      <c r="O42" s="54">
        <f t="shared" si="6"/>
        <v>6300000</v>
      </c>
      <c r="P42" s="54">
        <f>SUM(P43:P45)</f>
        <v>4523949</v>
      </c>
    </row>
    <row r="43" spans="1:16" ht="14.25" customHeight="1">
      <c r="A43" s="76" t="s">
        <v>67</v>
      </c>
      <c r="B43" s="56" t="s">
        <v>209</v>
      </c>
      <c r="C43" s="52"/>
      <c r="D43" s="52"/>
      <c r="E43" s="77"/>
      <c r="F43" s="418"/>
      <c r="G43" s="426"/>
      <c r="H43" s="52">
        <f aca="true" t="shared" si="7" ref="H43:O43">H53</f>
        <v>3666899</v>
      </c>
      <c r="I43" s="52">
        <f t="shared" si="7"/>
        <v>3506453</v>
      </c>
      <c r="J43" s="52">
        <f t="shared" si="7"/>
        <v>2550000</v>
      </c>
      <c r="K43" s="52">
        <f>K53</f>
        <v>2550000</v>
      </c>
      <c r="L43" s="52">
        <f t="shared" si="7"/>
        <v>2401170</v>
      </c>
      <c r="M43" s="52">
        <f t="shared" si="7"/>
        <v>62028</v>
      </c>
      <c r="N43" s="52">
        <f t="shared" si="7"/>
        <v>750523</v>
      </c>
      <c r="O43" s="52">
        <f t="shared" si="7"/>
        <v>600000</v>
      </c>
      <c r="P43" s="52">
        <f>P53</f>
        <v>423949</v>
      </c>
    </row>
    <row r="44" spans="1:16" ht="14.25" customHeight="1">
      <c r="A44" s="76" t="s">
        <v>69</v>
      </c>
      <c r="B44" s="56" t="s">
        <v>214</v>
      </c>
      <c r="C44" s="52"/>
      <c r="D44" s="52"/>
      <c r="E44" s="77"/>
      <c r="F44" s="418"/>
      <c r="G44" s="426"/>
      <c r="H44" s="52">
        <f aca="true" t="shared" si="8" ref="H44:O44">H54</f>
        <v>600000</v>
      </c>
      <c r="I44" s="52">
        <f t="shared" si="8"/>
        <v>600000</v>
      </c>
      <c r="J44" s="52">
        <f t="shared" si="8"/>
        <v>600000</v>
      </c>
      <c r="K44" s="52">
        <f t="shared" si="8"/>
        <v>700000</v>
      </c>
      <c r="L44" s="52">
        <f t="shared" si="8"/>
        <v>1400000</v>
      </c>
      <c r="M44" s="52">
        <f t="shared" si="8"/>
        <v>0</v>
      </c>
      <c r="N44" s="52">
        <f t="shared" si="8"/>
        <v>0</v>
      </c>
      <c r="O44" s="52">
        <f t="shared" si="8"/>
        <v>0</v>
      </c>
      <c r="P44" s="52">
        <f>P54</f>
        <v>0</v>
      </c>
    </row>
    <row r="45" spans="1:16" ht="15" customHeight="1">
      <c r="A45" s="76" t="s">
        <v>77</v>
      </c>
      <c r="B45" s="56" t="s">
        <v>92</v>
      </c>
      <c r="C45" s="52"/>
      <c r="D45" s="52"/>
      <c r="E45" s="77"/>
      <c r="F45" s="418"/>
      <c r="G45" s="426"/>
      <c r="H45" s="52">
        <f aca="true" t="shared" si="9" ref="H45:O45">H55</f>
        <v>3000000</v>
      </c>
      <c r="I45" s="52">
        <f t="shared" si="9"/>
        <v>3000000</v>
      </c>
      <c r="J45" s="52">
        <f t="shared" si="9"/>
        <v>3000000</v>
      </c>
      <c r="K45" s="52">
        <f t="shared" si="9"/>
        <v>3000000</v>
      </c>
      <c r="L45" s="52">
        <f t="shared" si="9"/>
        <v>3000000</v>
      </c>
      <c r="M45" s="52">
        <f t="shared" si="9"/>
        <v>5000000</v>
      </c>
      <c r="N45" s="52">
        <f t="shared" si="9"/>
        <v>6600000</v>
      </c>
      <c r="O45" s="52">
        <f t="shared" si="9"/>
        <v>5700000</v>
      </c>
      <c r="P45" s="52">
        <f>P55</f>
        <v>4100000</v>
      </c>
    </row>
    <row r="46" spans="1:16" ht="15.75" customHeight="1">
      <c r="A46" s="74" t="s">
        <v>143</v>
      </c>
      <c r="B46" s="143" t="s">
        <v>110</v>
      </c>
      <c r="C46" s="54">
        <f>WPF!D24+WPF!D52</f>
        <v>31400550</v>
      </c>
      <c r="D46" s="54">
        <f>WPF!E24+WPF!E52</f>
        <v>28859761</v>
      </c>
      <c r="E46" s="54">
        <f>WPF!F24+WPF!F52</f>
        <v>10245475</v>
      </c>
      <c r="F46" s="420">
        <f>WPF!G24+WPF!G52</f>
        <v>14027077</v>
      </c>
      <c r="G46" s="429">
        <f>WPF!H24+WPF!H52</f>
        <v>6935040</v>
      </c>
      <c r="H46" s="54">
        <f>WPF!I24+WPF!I52</f>
        <v>0</v>
      </c>
      <c r="I46" s="54">
        <f>WPF!J24+WPF!J52</f>
        <v>0</v>
      </c>
      <c r="J46" s="54">
        <f>WPF!K24+WPF!K52</f>
        <v>0</v>
      </c>
      <c r="K46" s="54">
        <f>WPF!L24+WPF!L52</f>
        <v>0</v>
      </c>
      <c r="L46" s="54">
        <f>WPF!M24+WPF!M52</f>
        <v>0</v>
      </c>
      <c r="M46" s="54">
        <f>WPF!N24+WPF!N52</f>
        <v>0</v>
      </c>
      <c r="N46" s="54">
        <f>WPF!O24+WPF!O52</f>
        <v>0</v>
      </c>
      <c r="O46" s="54">
        <f>WPF!P24+WPF!P52</f>
        <v>0</v>
      </c>
      <c r="P46" s="54">
        <f>WPF!Q24+WPF!Q52</f>
        <v>0</v>
      </c>
    </row>
    <row r="47" spans="1:16" ht="11.25" customHeight="1">
      <c r="A47" s="136" t="s">
        <v>67</v>
      </c>
      <c r="B47" s="56" t="s">
        <v>90</v>
      </c>
      <c r="C47" s="51">
        <v>7546170</v>
      </c>
      <c r="D47" s="51">
        <v>6330000</v>
      </c>
      <c r="E47" s="51"/>
      <c r="F47" s="418">
        <v>2100000</v>
      </c>
      <c r="G47" s="426"/>
      <c r="H47" s="51"/>
      <c r="I47" s="51"/>
      <c r="J47" s="51"/>
      <c r="K47" s="51"/>
      <c r="L47" s="51"/>
      <c r="M47" s="51"/>
      <c r="N47" s="51"/>
      <c r="O47" s="51"/>
      <c r="P47" s="51"/>
    </row>
    <row r="48" spans="1:16" ht="11.25" customHeight="1">
      <c r="A48" s="136" t="s">
        <v>69</v>
      </c>
      <c r="B48" s="56" t="s">
        <v>91</v>
      </c>
      <c r="C48" s="51">
        <v>4000000</v>
      </c>
      <c r="D48" s="51">
        <v>4810000</v>
      </c>
      <c r="E48" s="51"/>
      <c r="F48" s="418"/>
      <c r="G48" s="426"/>
      <c r="H48" s="51"/>
      <c r="I48" s="51"/>
      <c r="J48" s="51"/>
      <c r="K48" s="51"/>
      <c r="L48" s="51"/>
      <c r="M48" s="51"/>
      <c r="N48" s="51"/>
      <c r="O48" s="51"/>
      <c r="P48" s="51"/>
    </row>
    <row r="49" spans="1:16" ht="11.25" customHeight="1">
      <c r="A49" s="136" t="s">
        <v>77</v>
      </c>
      <c r="B49" s="56" t="s">
        <v>98</v>
      </c>
      <c r="C49" s="51"/>
      <c r="D49" s="51">
        <v>14000000</v>
      </c>
      <c r="E49" s="51">
        <v>9000000</v>
      </c>
      <c r="F49" s="418">
        <v>11500000</v>
      </c>
      <c r="G49" s="426">
        <v>6900000</v>
      </c>
      <c r="H49" s="51"/>
      <c r="I49" s="51"/>
      <c r="J49" s="51"/>
      <c r="K49" s="51"/>
      <c r="L49" s="51"/>
      <c r="M49" s="51"/>
      <c r="N49" s="51"/>
      <c r="O49" s="51"/>
      <c r="P49" s="51"/>
    </row>
    <row r="50" spans="1:16" ht="51.75" customHeight="1">
      <c r="A50" s="136" t="s">
        <v>80</v>
      </c>
      <c r="B50" s="72" t="s">
        <v>99</v>
      </c>
      <c r="C50" s="51">
        <v>15733115</v>
      </c>
      <c r="D50" s="51">
        <v>3719761</v>
      </c>
      <c r="E50" s="51">
        <v>1245475</v>
      </c>
      <c r="F50" s="418">
        <v>427077</v>
      </c>
      <c r="G50" s="426">
        <v>35040</v>
      </c>
      <c r="H50" s="51"/>
      <c r="I50" s="51"/>
      <c r="J50" s="51"/>
      <c r="K50" s="51"/>
      <c r="L50" s="51"/>
      <c r="M50" s="51"/>
      <c r="N50" s="51"/>
      <c r="O50" s="51"/>
      <c r="P50" s="51"/>
    </row>
    <row r="51" spans="1:16" ht="14.25" customHeight="1">
      <c r="A51" s="136" t="s">
        <v>141</v>
      </c>
      <c r="B51" s="73" t="s">
        <v>100</v>
      </c>
      <c r="C51" s="51">
        <v>4121265</v>
      </c>
      <c r="D51" s="51"/>
      <c r="E51" s="51"/>
      <c r="F51" s="418"/>
      <c r="G51" s="426"/>
      <c r="H51" s="51"/>
      <c r="I51" s="51"/>
      <c r="J51" s="51"/>
      <c r="K51" s="51"/>
      <c r="L51" s="51"/>
      <c r="M51" s="51"/>
      <c r="N51" s="51"/>
      <c r="O51" s="51"/>
      <c r="P51" s="51"/>
    </row>
    <row r="52" spans="1:16" ht="21" customHeight="1">
      <c r="A52" s="74" t="s">
        <v>211</v>
      </c>
      <c r="B52" s="143" t="s">
        <v>111</v>
      </c>
      <c r="C52" s="54">
        <f>WPF!D29+WPF!D34</f>
        <v>1422000</v>
      </c>
      <c r="D52" s="54">
        <f>WPF!E29+WPF!E34</f>
        <v>3463314</v>
      </c>
      <c r="E52" s="54">
        <f>WPF!F29+WPF!F34</f>
        <v>6980085</v>
      </c>
      <c r="F52" s="420">
        <f>WPF!G29+WPF!G34</f>
        <v>4551585</v>
      </c>
      <c r="G52" s="429">
        <f>WPF!H29+WPF!H34</f>
        <v>6935040</v>
      </c>
      <c r="H52" s="54">
        <f>WPF!I29+WPF!I34</f>
        <v>7266899</v>
      </c>
      <c r="I52" s="54">
        <f>WPF!J29+WPF!J34</f>
        <v>7106453</v>
      </c>
      <c r="J52" s="54">
        <f>WPF!K29+WPF!K34</f>
        <v>6150000</v>
      </c>
      <c r="K52" s="54">
        <f>WPF!L29+WPF!L34</f>
        <v>6250000</v>
      </c>
      <c r="L52" s="54">
        <f>WPF!M29+WPF!M34</f>
        <v>6801170</v>
      </c>
      <c r="M52" s="54">
        <f>WPF!N29+WPF!N34</f>
        <v>5062028</v>
      </c>
      <c r="N52" s="54">
        <f>WPF!O29+WPF!O34</f>
        <v>7350523</v>
      </c>
      <c r="O52" s="54">
        <f>WPF!P29+WPF!P34</f>
        <v>6300000</v>
      </c>
      <c r="P52" s="54">
        <f>WPF!Q29+WPF!Q34</f>
        <v>4523949</v>
      </c>
    </row>
    <row r="53" spans="1:16" ht="12" customHeight="1">
      <c r="A53" s="76" t="s">
        <v>67</v>
      </c>
      <c r="B53" s="56" t="s">
        <v>90</v>
      </c>
      <c r="C53" s="52">
        <v>1422000</v>
      </c>
      <c r="D53" s="52">
        <v>2963314</v>
      </c>
      <c r="E53" s="77">
        <v>3340085</v>
      </c>
      <c r="F53" s="418">
        <f>WPF!G30</f>
        <v>2141585</v>
      </c>
      <c r="G53" s="426">
        <f>WPF!H30</f>
        <v>3535040</v>
      </c>
      <c r="H53" s="52">
        <f>WPF!I30</f>
        <v>3666899</v>
      </c>
      <c r="I53" s="52">
        <f>WPF!J30</f>
        <v>3506453</v>
      </c>
      <c r="J53" s="52">
        <f>WPF!K30</f>
        <v>2550000</v>
      </c>
      <c r="K53" s="52">
        <f>WPF!L30</f>
        <v>2550000</v>
      </c>
      <c r="L53" s="52">
        <f>WPF!M30</f>
        <v>2401170</v>
      </c>
      <c r="M53" s="52">
        <f>WPF!N30</f>
        <v>62028</v>
      </c>
      <c r="N53" s="52">
        <f>WPF!O30</f>
        <v>750523</v>
      </c>
      <c r="O53" s="52">
        <f>WPF!P30</f>
        <v>600000</v>
      </c>
      <c r="P53" s="52">
        <f>WPF!Q30</f>
        <v>423949</v>
      </c>
    </row>
    <row r="54" spans="1:16" ht="12" customHeight="1">
      <c r="A54" s="76" t="s">
        <v>69</v>
      </c>
      <c r="B54" s="56" t="s">
        <v>91</v>
      </c>
      <c r="C54" s="52"/>
      <c r="D54" s="52">
        <v>500000</v>
      </c>
      <c r="E54" s="77">
        <v>3600000</v>
      </c>
      <c r="F54" s="418">
        <f>WPF!G31</f>
        <v>410000</v>
      </c>
      <c r="G54" s="426">
        <f>WPF!H31</f>
        <v>400000</v>
      </c>
      <c r="H54" s="52">
        <f>WPF!I31</f>
        <v>600000</v>
      </c>
      <c r="I54" s="52">
        <f>WPF!J31</f>
        <v>600000</v>
      </c>
      <c r="J54" s="52">
        <f>WPF!K31</f>
        <v>600000</v>
      </c>
      <c r="K54" s="52">
        <f>WPF!L31</f>
        <v>700000</v>
      </c>
      <c r="L54" s="52">
        <f>WPF!M31</f>
        <v>1400000</v>
      </c>
      <c r="M54" s="52">
        <f>WPF!N31</f>
        <v>0</v>
      </c>
      <c r="N54" s="52">
        <f>WPF!O31</f>
        <v>0</v>
      </c>
      <c r="O54" s="52">
        <f>WPF!P31</f>
        <v>0</v>
      </c>
      <c r="P54" s="52">
        <f>WPF!Q31</f>
        <v>0</v>
      </c>
    </row>
    <row r="55" spans="1:16" ht="12.75" customHeight="1">
      <c r="A55" s="76" t="s">
        <v>77</v>
      </c>
      <c r="B55" s="56" t="s">
        <v>92</v>
      </c>
      <c r="C55" s="52"/>
      <c r="D55" s="52"/>
      <c r="E55" s="77"/>
      <c r="F55" s="418">
        <f>WPF!G32</f>
        <v>2000000</v>
      </c>
      <c r="G55" s="426">
        <f>WPF!H32</f>
        <v>3000000</v>
      </c>
      <c r="H55" s="52">
        <f>WPF!I32</f>
        <v>3000000</v>
      </c>
      <c r="I55" s="52">
        <f>WPF!J32</f>
        <v>3000000</v>
      </c>
      <c r="J55" s="52">
        <f>WPF!K32</f>
        <v>3000000</v>
      </c>
      <c r="K55" s="52">
        <f>WPF!L32</f>
        <v>3000000</v>
      </c>
      <c r="L55" s="52">
        <f>WPF!M32</f>
        <v>3000000</v>
      </c>
      <c r="M55" s="52">
        <f>WPF!N32</f>
        <v>5000000</v>
      </c>
      <c r="N55" s="52">
        <f>WPF!O32</f>
        <v>6600000</v>
      </c>
      <c r="O55" s="52">
        <f>WPF!P32</f>
        <v>5700000</v>
      </c>
      <c r="P55" s="52">
        <f>WPF!Q32</f>
        <v>4100000</v>
      </c>
    </row>
    <row r="56" spans="1:16" ht="36" customHeight="1" thickBot="1">
      <c r="A56" s="146">
        <v>16</v>
      </c>
      <c r="B56" s="147" t="s">
        <v>144</v>
      </c>
      <c r="C56" s="148">
        <f>(WPF!D14+WPF!D24)/'Prognoza długu'!C25%</f>
        <v>157.7697469829884</v>
      </c>
      <c r="D56" s="148">
        <f>(WPF!E14+WPF!E24)/'Prognoza długu'!D25%</f>
        <v>116.24893719986517</v>
      </c>
      <c r="E56" s="148">
        <f>(WPF!F14+WPF!F24)/'Prognoza długu'!E25%</f>
        <v>109.50668943564182</v>
      </c>
      <c r="F56" s="423">
        <f>(WPF!G14+WPF!G24)/'Prognoza długu'!F25%</f>
        <v>109.5395095059268</v>
      </c>
      <c r="G56" s="430">
        <f>(WPF!H14+WPF!H24)/'Prognoza długu'!G25%</f>
        <v>102.17766059848076</v>
      </c>
      <c r="H56" s="148">
        <f>(WPF!I14+WPF!I24)/'Prognoza długu'!H25%</f>
        <v>129.5877538646652</v>
      </c>
      <c r="I56" s="148">
        <f>(WPF!J14+WPF!J24)/'Prognoza długu'!I25%</f>
        <v>134.21272693962985</v>
      </c>
      <c r="J56" s="148">
        <f>(WPF!K14+WPF!K24)/'Prognoza długu'!J25%</f>
        <v>141.8001352650019</v>
      </c>
      <c r="K56" s="148">
        <f>(WPF!L14+WPF!L24)/'Prognoza długu'!K25%</f>
        <v>124.72566253037135</v>
      </c>
      <c r="L56" s="148">
        <f>(WPF!M14+WPF!M24)/'Prognoza długu'!L25%</f>
        <v>126.2044818932295</v>
      </c>
      <c r="M56" s="148">
        <f>(WPF!N14+WPF!N24)/'Prognoza długu'!M25%</f>
        <v>126.35710440384356</v>
      </c>
      <c r="N56" s="148">
        <f>(WPF!O14+WPF!O24)/'Prognoza długu'!N25%</f>
        <v>130.75654626875075</v>
      </c>
      <c r="O56" s="148">
        <f>(WPF!P14+WPF!P24)/'Prognoza długu'!O25%</f>
        <v>129.03440549707784</v>
      </c>
      <c r="P56" s="148">
        <f>(WPF!Q14+WPF!Q24)/'Prognoza długu'!P25%</f>
        <v>128.49611105587425</v>
      </c>
    </row>
    <row r="57" spans="1:16" ht="12.75">
      <c r="A57" s="149"/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</row>
    <row r="58" spans="1:16" ht="12.75">
      <c r="A58" s="81"/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</row>
  </sheetData>
  <sheetProtection/>
  <mergeCells count="11">
    <mergeCell ref="A6:P6"/>
    <mergeCell ref="A7:A9"/>
    <mergeCell ref="B7:B9"/>
    <mergeCell ref="C7:P7"/>
    <mergeCell ref="F8:P8"/>
    <mergeCell ref="C8:E8"/>
    <mergeCell ref="A39:A41"/>
    <mergeCell ref="B39:B41"/>
    <mergeCell ref="C39:P39"/>
    <mergeCell ref="C40:E40"/>
    <mergeCell ref="F40:P40"/>
  </mergeCells>
  <printOptions horizontalCentered="1"/>
  <pageMargins left="0.5905511811023623" right="0.3937007874015748" top="0.984251968503937" bottom="0.4724409448818898" header="0.5118110236220472" footer="0.5118110236220472"/>
  <pageSetup fitToHeight="2" horizontalDpi="600" verticalDpi="600" orientation="landscape" paperSize="9" scale="6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42"/>
  <sheetViews>
    <sheetView tabSelected="1" view="pageLayout" zoomScaleNormal="90" workbookViewId="0" topLeftCell="A108">
      <pane xSplit="16860" topLeftCell="L1" activePane="topLeft" state="split"/>
      <selection pane="topLeft" activeCell="I113" sqref="I113"/>
      <selection pane="topRight" activeCell="L17" sqref="L17"/>
    </sheetView>
  </sheetViews>
  <sheetFormatPr defaultColWidth="11.57421875" defaultRowHeight="12.75"/>
  <cols>
    <col min="1" max="1" width="6.57421875" style="0" customWidth="1"/>
    <col min="2" max="2" width="40.8515625" style="0" customWidth="1"/>
    <col min="3" max="3" width="10.421875" style="31" customWidth="1"/>
    <col min="4" max="5" width="8.28125" style="31" customWidth="1"/>
    <col min="6" max="6" width="5.28125" style="31" customWidth="1"/>
    <col min="7" max="7" width="6.28125" style="31" customWidth="1"/>
    <col min="8" max="8" width="8.00390625" style="31" customWidth="1"/>
    <col min="9" max="9" width="14.140625" style="31" customWidth="1"/>
    <col min="10" max="11" width="12.8515625" style="31" customWidth="1"/>
    <col min="12" max="12" width="13.00390625" style="31" customWidth="1"/>
    <col min="13" max="13" width="12.57421875" style="31" customWidth="1"/>
    <col min="14" max="14" width="12.7109375" style="31" customWidth="1"/>
    <col min="15" max="15" width="12.57421875" style="31" customWidth="1"/>
    <col min="16" max="16" width="11.140625" style="31" customWidth="1"/>
    <col min="17" max="17" width="14.421875" style="0" customWidth="1"/>
    <col min="18" max="18" width="11.7109375" style="0" bestFit="1" customWidth="1"/>
  </cols>
  <sheetData>
    <row r="1" spans="1:17" s="33" customFormat="1" ht="15" customHeight="1">
      <c r="A1" s="364"/>
      <c r="B1" s="150"/>
      <c r="C1" s="150"/>
      <c r="D1" s="150"/>
      <c r="E1" s="150"/>
      <c r="F1" s="150"/>
      <c r="G1" s="151"/>
      <c r="H1" s="150"/>
      <c r="I1" s="150"/>
      <c r="J1" s="150"/>
      <c r="K1" s="150"/>
      <c r="L1" s="150"/>
      <c r="M1" s="150"/>
      <c r="N1" s="150"/>
      <c r="O1" s="59" t="s">
        <v>145</v>
      </c>
      <c r="P1" s="59"/>
      <c r="Q1" s="150"/>
    </row>
    <row r="2" spans="1:17" s="36" customFormat="1" ht="4.5" customHeight="1">
      <c r="A2" s="364"/>
      <c r="B2" s="150"/>
      <c r="C2" s="150"/>
      <c r="D2" s="150"/>
      <c r="E2" s="150"/>
      <c r="F2" s="150"/>
      <c r="G2" s="152"/>
      <c r="H2" s="150"/>
      <c r="I2" s="150"/>
      <c r="J2" s="150"/>
      <c r="K2" s="150"/>
      <c r="L2" s="150"/>
      <c r="M2" s="150"/>
      <c r="N2" s="150"/>
      <c r="O2" s="64"/>
      <c r="P2" s="65"/>
      <c r="Q2" s="150"/>
    </row>
    <row r="3" spans="1:17" s="36" customFormat="1" ht="12.75" customHeight="1">
      <c r="A3" s="364"/>
      <c r="B3" s="150"/>
      <c r="C3" s="150"/>
      <c r="D3" s="150"/>
      <c r="E3" s="150"/>
      <c r="F3" s="150"/>
      <c r="G3" s="153"/>
      <c r="H3" s="150"/>
      <c r="I3" s="150"/>
      <c r="J3" s="150"/>
      <c r="K3" s="150"/>
      <c r="L3" s="150"/>
      <c r="M3" s="150"/>
      <c r="N3" s="150"/>
      <c r="O3" s="69" t="s">
        <v>340</v>
      </c>
      <c r="P3" s="65"/>
      <c r="Q3" s="150"/>
    </row>
    <row r="4" spans="1:17" s="36" customFormat="1" ht="12.75" customHeight="1">
      <c r="A4" s="364"/>
      <c r="B4" s="150"/>
      <c r="C4" s="150"/>
      <c r="D4" s="150"/>
      <c r="E4" s="150"/>
      <c r="F4" s="150"/>
      <c r="G4" s="153"/>
      <c r="H4" s="150"/>
      <c r="I4" s="150"/>
      <c r="J4" s="150"/>
      <c r="K4" s="150"/>
      <c r="L4" s="150"/>
      <c r="M4" s="150"/>
      <c r="N4" s="150"/>
      <c r="O4" s="69" t="s">
        <v>49</v>
      </c>
      <c r="P4" s="65"/>
      <c r="Q4" s="150"/>
    </row>
    <row r="5" spans="1:17" s="36" customFormat="1" ht="12.75" customHeight="1" thickBot="1">
      <c r="A5" s="364"/>
      <c r="B5" s="150"/>
      <c r="C5" s="150"/>
      <c r="D5" s="150"/>
      <c r="E5" s="150"/>
      <c r="F5" s="150"/>
      <c r="G5" s="153"/>
      <c r="H5" s="150"/>
      <c r="I5" s="150"/>
      <c r="J5" s="150"/>
      <c r="K5" s="150"/>
      <c r="L5" s="150"/>
      <c r="M5" s="150"/>
      <c r="N5" s="150"/>
      <c r="O5" s="69" t="s">
        <v>341</v>
      </c>
      <c r="P5" s="65"/>
      <c r="Q5" s="150"/>
    </row>
    <row r="6" spans="1:17" s="36" customFormat="1" ht="12.75" customHeight="1">
      <c r="A6" s="642" t="s">
        <v>331</v>
      </c>
      <c r="B6" s="642"/>
      <c r="C6" s="642"/>
      <c r="D6" s="642"/>
      <c r="E6" s="642"/>
      <c r="F6" s="642"/>
      <c r="G6" s="642"/>
      <c r="H6" s="642"/>
      <c r="I6" s="642"/>
      <c r="J6" s="642"/>
      <c r="K6" s="642"/>
      <c r="L6" s="642"/>
      <c r="M6" s="642"/>
      <c r="N6" s="642"/>
      <c r="O6" s="642"/>
      <c r="P6" s="642"/>
      <c r="Q6" s="642"/>
    </row>
    <row r="7" spans="1:17" s="36" customFormat="1" ht="12.75" customHeight="1" thickBot="1">
      <c r="A7" s="643"/>
      <c r="B7" s="643"/>
      <c r="C7" s="643"/>
      <c r="D7" s="643"/>
      <c r="E7" s="643"/>
      <c r="F7" s="643"/>
      <c r="G7" s="643"/>
      <c r="H7" s="643"/>
      <c r="I7" s="643"/>
      <c r="J7" s="643"/>
      <c r="K7" s="643"/>
      <c r="L7" s="643"/>
      <c r="M7" s="643"/>
      <c r="N7" s="643"/>
      <c r="O7" s="643"/>
      <c r="P7" s="643"/>
      <c r="Q7" s="643"/>
    </row>
    <row r="8" spans="1:17" s="36" customFormat="1" ht="12.75" customHeight="1">
      <c r="A8" s="637" t="s">
        <v>113</v>
      </c>
      <c r="B8" s="638" t="s">
        <v>146</v>
      </c>
      <c r="C8" s="639" t="s">
        <v>147</v>
      </c>
      <c r="D8" s="640" t="s">
        <v>234</v>
      </c>
      <c r="E8" s="640"/>
      <c r="F8" s="640" t="s">
        <v>148</v>
      </c>
      <c r="G8" s="640"/>
      <c r="H8" s="640"/>
      <c r="I8" s="641" t="s">
        <v>149</v>
      </c>
      <c r="J8" s="644" t="s">
        <v>330</v>
      </c>
      <c r="K8" s="644"/>
      <c r="L8" s="644"/>
      <c r="M8" s="644"/>
      <c r="N8" s="644"/>
      <c r="O8" s="644"/>
      <c r="P8" s="644"/>
      <c r="Q8" s="636" t="s">
        <v>150</v>
      </c>
    </row>
    <row r="9" spans="1:17" s="36" customFormat="1" ht="11.25" customHeight="1">
      <c r="A9" s="626"/>
      <c r="B9" s="629"/>
      <c r="C9" s="631"/>
      <c r="D9" s="634"/>
      <c r="E9" s="634"/>
      <c r="F9" s="634"/>
      <c r="G9" s="634"/>
      <c r="H9" s="634"/>
      <c r="I9" s="624"/>
      <c r="J9" s="621">
        <v>2012</v>
      </c>
      <c r="K9" s="622"/>
      <c r="L9" s="622"/>
      <c r="M9" s="623">
        <v>2013</v>
      </c>
      <c r="N9" s="623">
        <v>2014</v>
      </c>
      <c r="O9" s="623">
        <v>2015</v>
      </c>
      <c r="P9" s="623">
        <v>2016</v>
      </c>
      <c r="Q9" s="618"/>
    </row>
    <row r="10" spans="1:17" s="36" customFormat="1" ht="11.25" customHeight="1">
      <c r="A10" s="627"/>
      <c r="B10" s="630"/>
      <c r="C10" s="632"/>
      <c r="D10" s="623" t="s">
        <v>151</v>
      </c>
      <c r="E10" s="623" t="s">
        <v>152</v>
      </c>
      <c r="F10" s="615" t="s">
        <v>153</v>
      </c>
      <c r="G10" s="615" t="s">
        <v>154</v>
      </c>
      <c r="H10" s="615" t="s">
        <v>155</v>
      </c>
      <c r="I10" s="635"/>
      <c r="J10" s="621"/>
      <c r="K10" s="622"/>
      <c r="L10" s="622"/>
      <c r="M10" s="624"/>
      <c r="N10" s="624"/>
      <c r="O10" s="624"/>
      <c r="P10" s="624"/>
      <c r="Q10" s="619"/>
    </row>
    <row r="11" spans="1:17" s="36" customFormat="1" ht="20.25" customHeight="1" thickBot="1">
      <c r="A11" s="628"/>
      <c r="B11" s="616"/>
      <c r="C11" s="616"/>
      <c r="D11" s="616"/>
      <c r="E11" s="616"/>
      <c r="F11" s="616"/>
      <c r="G11" s="616"/>
      <c r="H11" s="616"/>
      <c r="I11" s="616"/>
      <c r="J11" s="496" t="s">
        <v>327</v>
      </c>
      <c r="K11" s="496" t="s">
        <v>328</v>
      </c>
      <c r="L11" s="496" t="s">
        <v>329</v>
      </c>
      <c r="M11" s="625"/>
      <c r="N11" s="625"/>
      <c r="O11" s="625"/>
      <c r="P11" s="625"/>
      <c r="Q11" s="620"/>
    </row>
    <row r="12" spans="1:18" s="32" customFormat="1" ht="26.25" customHeight="1">
      <c r="A12" s="154"/>
      <c r="B12" s="155" t="s">
        <v>156</v>
      </c>
      <c r="C12" s="156" t="s">
        <v>82</v>
      </c>
      <c r="D12" s="156" t="s">
        <v>82</v>
      </c>
      <c r="E12" s="156" t="s">
        <v>82</v>
      </c>
      <c r="F12" s="156"/>
      <c r="G12" s="156"/>
      <c r="H12" s="156"/>
      <c r="I12" s="157">
        <f aca="true" t="shared" si="0" ref="I12:P12">I13+I14</f>
        <v>241618460.91</v>
      </c>
      <c r="J12" s="497">
        <f t="shared" si="0"/>
        <v>72305323</v>
      </c>
      <c r="K12" s="497">
        <f>K13+K14</f>
        <v>-142825</v>
      </c>
      <c r="L12" s="497">
        <f>L13+L14</f>
        <v>72162498</v>
      </c>
      <c r="M12" s="157">
        <f t="shared" si="0"/>
        <v>80191444</v>
      </c>
      <c r="N12" s="158">
        <f>N13+N14</f>
        <v>26642599</v>
      </c>
      <c r="O12" s="158">
        <f t="shared" si="0"/>
        <v>40721310</v>
      </c>
      <c r="P12" s="158">
        <f t="shared" si="0"/>
        <v>3298490</v>
      </c>
      <c r="Q12" s="159">
        <f>SUM(L12:P12)</f>
        <v>223016341</v>
      </c>
      <c r="R12" s="512">
        <f>Q13+Q14</f>
        <v>223016341</v>
      </c>
    </row>
    <row r="13" spans="1:17" s="37" customFormat="1" ht="24.75" customHeight="1">
      <c r="A13" s="160"/>
      <c r="B13" s="161" t="s">
        <v>157</v>
      </c>
      <c r="C13" s="89" t="s">
        <v>82</v>
      </c>
      <c r="D13" s="89" t="s">
        <v>82</v>
      </c>
      <c r="E13" s="89" t="s">
        <v>82</v>
      </c>
      <c r="F13" s="89"/>
      <c r="G13" s="89"/>
      <c r="H13" s="89"/>
      <c r="I13" s="162">
        <f aca="true" t="shared" si="1" ref="I13:P13">I95</f>
        <v>27565877</v>
      </c>
      <c r="J13" s="498">
        <f t="shared" si="1"/>
        <v>10486215</v>
      </c>
      <c r="K13" s="498">
        <f>K95</f>
        <v>0</v>
      </c>
      <c r="L13" s="498">
        <f>L95</f>
        <v>10486215</v>
      </c>
      <c r="M13" s="162">
        <f t="shared" si="1"/>
        <v>4989983</v>
      </c>
      <c r="N13" s="162">
        <f t="shared" si="1"/>
        <v>4502599</v>
      </c>
      <c r="O13" s="162">
        <f t="shared" si="1"/>
        <v>2421310</v>
      </c>
      <c r="P13" s="162">
        <f t="shared" si="1"/>
        <v>2298490</v>
      </c>
      <c r="Q13" s="163">
        <f>SUM(L13:P13)</f>
        <v>24698597</v>
      </c>
    </row>
    <row r="14" spans="1:18" s="37" customFormat="1" ht="24.75" customHeight="1">
      <c r="A14" s="160"/>
      <c r="B14" s="161" t="s">
        <v>158</v>
      </c>
      <c r="C14" s="89" t="s">
        <v>82</v>
      </c>
      <c r="D14" s="89" t="s">
        <v>82</v>
      </c>
      <c r="E14" s="89" t="s">
        <v>82</v>
      </c>
      <c r="F14" s="89"/>
      <c r="G14" s="89"/>
      <c r="H14" s="89"/>
      <c r="I14" s="162">
        <f aca="true" t="shared" si="2" ref="I14:P15">I15</f>
        <v>214052583.91</v>
      </c>
      <c r="J14" s="498">
        <f t="shared" si="2"/>
        <v>61819108</v>
      </c>
      <c r="K14" s="498">
        <f t="shared" si="2"/>
        <v>-142825</v>
      </c>
      <c r="L14" s="498">
        <f t="shared" si="2"/>
        <v>61676283</v>
      </c>
      <c r="M14" s="162">
        <f t="shared" si="2"/>
        <v>75201461</v>
      </c>
      <c r="N14" s="162">
        <f t="shared" si="2"/>
        <v>22140000</v>
      </c>
      <c r="O14" s="162">
        <f t="shared" si="2"/>
        <v>38300000</v>
      </c>
      <c r="P14" s="162">
        <f t="shared" si="2"/>
        <v>1000000</v>
      </c>
      <c r="Q14" s="163">
        <f>SUM(L14:P14)</f>
        <v>198317744</v>
      </c>
      <c r="R14" s="513">
        <f>J12+K12</f>
        <v>72162498</v>
      </c>
    </row>
    <row r="15" spans="1:17" s="38" customFormat="1" ht="39.75" customHeight="1">
      <c r="A15" s="164" t="s">
        <v>159</v>
      </c>
      <c r="B15" s="165" t="s">
        <v>269</v>
      </c>
      <c r="C15" s="166" t="s">
        <v>82</v>
      </c>
      <c r="D15" s="166" t="s">
        <v>82</v>
      </c>
      <c r="E15" s="166" t="s">
        <v>82</v>
      </c>
      <c r="F15" s="166"/>
      <c r="G15" s="166"/>
      <c r="H15" s="166"/>
      <c r="I15" s="167">
        <f>I16</f>
        <v>214052583.91</v>
      </c>
      <c r="J15" s="499">
        <f t="shared" si="2"/>
        <v>61819108</v>
      </c>
      <c r="K15" s="499">
        <f t="shared" si="2"/>
        <v>-142825</v>
      </c>
      <c r="L15" s="499">
        <f t="shared" si="2"/>
        <v>61676283</v>
      </c>
      <c r="M15" s="167">
        <f t="shared" si="2"/>
        <v>75201461</v>
      </c>
      <c r="N15" s="168">
        <f>N16</f>
        <v>22140000</v>
      </c>
      <c r="O15" s="168">
        <f>O16</f>
        <v>38300000</v>
      </c>
      <c r="P15" s="167">
        <f>P16</f>
        <v>1000000</v>
      </c>
      <c r="Q15" s="169">
        <f>SUM(L15:P15)</f>
        <v>198317744</v>
      </c>
    </row>
    <row r="16" spans="1:21" s="37" customFormat="1" ht="25.5" customHeight="1">
      <c r="A16" s="160"/>
      <c r="B16" s="161" t="s">
        <v>158</v>
      </c>
      <c r="C16" s="89" t="s">
        <v>82</v>
      </c>
      <c r="D16" s="89" t="s">
        <v>82</v>
      </c>
      <c r="E16" s="89" t="s">
        <v>82</v>
      </c>
      <c r="F16" s="89"/>
      <c r="G16" s="89"/>
      <c r="H16" s="89"/>
      <c r="I16" s="162">
        <f aca="true" t="shared" si="3" ref="I16:Q16">I18+I66</f>
        <v>214052583.91</v>
      </c>
      <c r="J16" s="498">
        <f t="shared" si="3"/>
        <v>61819108</v>
      </c>
      <c r="K16" s="498">
        <f t="shared" si="3"/>
        <v>-142825</v>
      </c>
      <c r="L16" s="498">
        <f t="shared" si="3"/>
        <v>61676283</v>
      </c>
      <c r="M16" s="162">
        <f t="shared" si="3"/>
        <v>75201461</v>
      </c>
      <c r="N16" s="162">
        <f t="shared" si="3"/>
        <v>22140000</v>
      </c>
      <c r="O16" s="162">
        <f t="shared" si="3"/>
        <v>38300000</v>
      </c>
      <c r="P16" s="162">
        <f t="shared" si="3"/>
        <v>1000000</v>
      </c>
      <c r="Q16" s="162">
        <f t="shared" si="3"/>
        <v>198317744</v>
      </c>
      <c r="R16" s="354">
        <f>R19+R39+R50+R67+R95</f>
        <v>223016341</v>
      </c>
      <c r="S16" s="354">
        <f>R16-Q12</f>
        <v>0</v>
      </c>
      <c r="T16" s="39"/>
      <c r="U16" s="39"/>
    </row>
    <row r="17" spans="1:28" s="42" customFormat="1" ht="62.25" customHeight="1">
      <c r="A17" s="164" t="s">
        <v>160</v>
      </c>
      <c r="B17" s="357" t="s">
        <v>161</v>
      </c>
      <c r="C17" s="166" t="s">
        <v>82</v>
      </c>
      <c r="D17" s="166" t="s">
        <v>82</v>
      </c>
      <c r="E17" s="166" t="s">
        <v>82</v>
      </c>
      <c r="F17" s="166"/>
      <c r="G17" s="166"/>
      <c r="H17" s="166"/>
      <c r="I17" s="167">
        <f aca="true" t="shared" si="4" ref="I17:P17">I18</f>
        <v>192937877.91</v>
      </c>
      <c r="J17" s="499">
        <f t="shared" si="4"/>
        <v>52868446</v>
      </c>
      <c r="K17" s="499">
        <f t="shared" si="4"/>
        <v>7000</v>
      </c>
      <c r="L17" s="499">
        <f t="shared" si="4"/>
        <v>52875446</v>
      </c>
      <c r="M17" s="167">
        <f t="shared" si="4"/>
        <v>66716261</v>
      </c>
      <c r="N17" s="167">
        <f t="shared" si="4"/>
        <v>20440000</v>
      </c>
      <c r="O17" s="167">
        <f t="shared" si="4"/>
        <v>38300000</v>
      </c>
      <c r="P17" s="167">
        <f t="shared" si="4"/>
        <v>1000000</v>
      </c>
      <c r="Q17" s="169">
        <f>SUM(L17:P17)</f>
        <v>179331707</v>
      </c>
      <c r="R17" s="40"/>
      <c r="S17" s="40"/>
      <c r="T17" s="40"/>
      <c r="U17" s="40"/>
      <c r="V17" s="41"/>
      <c r="W17" s="41"/>
      <c r="X17" s="41"/>
      <c r="Y17" s="41"/>
      <c r="Z17" s="41"/>
      <c r="AA17" s="41"/>
      <c r="AB17" s="41"/>
    </row>
    <row r="18" spans="1:18" s="37" customFormat="1" ht="25.5" customHeight="1">
      <c r="A18" s="160"/>
      <c r="B18" s="161" t="s">
        <v>158</v>
      </c>
      <c r="C18" s="89" t="s">
        <v>82</v>
      </c>
      <c r="D18" s="89" t="s">
        <v>82</v>
      </c>
      <c r="E18" s="89" t="s">
        <v>82</v>
      </c>
      <c r="F18" s="89"/>
      <c r="G18" s="89"/>
      <c r="H18" s="89"/>
      <c r="I18" s="162">
        <f aca="true" t="shared" si="5" ref="I18:Q18">I19+I39+I50</f>
        <v>192937877.91</v>
      </c>
      <c r="J18" s="498">
        <f t="shared" si="5"/>
        <v>52868446</v>
      </c>
      <c r="K18" s="498">
        <f t="shared" si="5"/>
        <v>7000</v>
      </c>
      <c r="L18" s="498">
        <f t="shared" si="5"/>
        <v>52875446</v>
      </c>
      <c r="M18" s="162">
        <f t="shared" si="5"/>
        <v>66716261</v>
      </c>
      <c r="N18" s="162">
        <f t="shared" si="5"/>
        <v>20440000</v>
      </c>
      <c r="O18" s="162">
        <f t="shared" si="5"/>
        <v>38300000</v>
      </c>
      <c r="P18" s="162">
        <f t="shared" si="5"/>
        <v>1000000</v>
      </c>
      <c r="Q18" s="170">
        <f t="shared" si="5"/>
        <v>179331707</v>
      </c>
      <c r="R18" s="350">
        <f>SUM(L18:P18)</f>
        <v>179331707</v>
      </c>
    </row>
    <row r="19" spans="1:18" s="43" customFormat="1" ht="30.75" customHeight="1">
      <c r="A19" s="394" t="s">
        <v>162</v>
      </c>
      <c r="B19" s="395" t="s">
        <v>163</v>
      </c>
      <c r="C19" s="396" t="s">
        <v>164</v>
      </c>
      <c r="D19" s="382">
        <v>2004</v>
      </c>
      <c r="E19" s="382">
        <v>2016</v>
      </c>
      <c r="F19" s="645" t="s">
        <v>239</v>
      </c>
      <c r="G19" s="645"/>
      <c r="H19" s="645"/>
      <c r="I19" s="397">
        <f>I20+I24+I28+I29+I30+I31+I32+I38+I37</f>
        <v>81226325.91</v>
      </c>
      <c r="J19" s="397">
        <f>J20+J24+J28+J29+J30+J31+J32+J38+J37</f>
        <v>23875446</v>
      </c>
      <c r="K19" s="397">
        <f>K20+K24+K28+K29+K30+K31+K32+K38+K37</f>
        <v>-70000</v>
      </c>
      <c r="L19" s="397">
        <f>L20+L24+L28+L29+L30+L31+L32+L38+L37</f>
        <v>23805446</v>
      </c>
      <c r="M19" s="397">
        <f>M24+M20+M38+M30+M29+M28+M31+M32</f>
        <v>35771261</v>
      </c>
      <c r="N19" s="397">
        <f>N24+N20+N38+N30+N29+N28+N31</f>
        <v>4500000</v>
      </c>
      <c r="O19" s="397">
        <f>O24+O20+O38+O30+O29+O28+O31</f>
        <v>6500000</v>
      </c>
      <c r="P19" s="397">
        <f>P24+P20+P38+P30+P29+P28+P31</f>
        <v>1000000</v>
      </c>
      <c r="Q19" s="397">
        <f>Q24+Q20+SUM(Q28:Q38)</f>
        <v>71576707</v>
      </c>
      <c r="R19" s="353">
        <f>SUM(L19:P19)</f>
        <v>71576707</v>
      </c>
    </row>
    <row r="20" spans="1:18" s="19" customFormat="1" ht="25.5" customHeight="1">
      <c r="A20" s="194" t="s">
        <v>165</v>
      </c>
      <c r="B20" s="646" t="s">
        <v>166</v>
      </c>
      <c r="C20" s="526" t="s">
        <v>167</v>
      </c>
      <c r="D20" s="525">
        <v>2004</v>
      </c>
      <c r="E20" s="525">
        <v>2016</v>
      </c>
      <c r="F20" s="648" t="s">
        <v>168</v>
      </c>
      <c r="G20" s="648"/>
      <c r="H20" s="648"/>
      <c r="I20" s="174">
        <f>SUM(I21:I23)</f>
        <v>48711362.91</v>
      </c>
      <c r="J20" s="498">
        <f>SUM(J21:J23)</f>
        <v>13455250</v>
      </c>
      <c r="K20" s="498">
        <f>SUM(K21:K23)</f>
        <v>0</v>
      </c>
      <c r="L20" s="498">
        <f>J20+K20</f>
        <v>13455250</v>
      </c>
      <c r="M20" s="174">
        <f>SUM(M21:M23)</f>
        <v>17516261</v>
      </c>
      <c r="N20" s="174">
        <f>SUM(N21:N23)</f>
        <v>4500000</v>
      </c>
      <c r="O20" s="174">
        <f>SUM(O21:O23)</f>
        <v>6500000</v>
      </c>
      <c r="P20" s="174">
        <f>SUM(P21:P23)</f>
        <v>1000000</v>
      </c>
      <c r="Q20" s="163">
        <f>SUM(L20:P20)</f>
        <v>42971511</v>
      </c>
      <c r="R20" s="30">
        <f>SUM(Q21:Q23)</f>
        <v>42971511</v>
      </c>
    </row>
    <row r="21" spans="1:17" s="19" customFormat="1" ht="24.75" customHeight="1">
      <c r="A21" s="201"/>
      <c r="B21" s="647"/>
      <c r="C21" s="359"/>
      <c r="D21" s="359"/>
      <c r="E21" s="359"/>
      <c r="F21" s="175" t="s">
        <v>169</v>
      </c>
      <c r="G21" s="175" t="s">
        <v>170</v>
      </c>
      <c r="H21" s="175">
        <v>6050</v>
      </c>
      <c r="I21" s="176">
        <f>Q21+1943653</f>
        <v>20571363</v>
      </c>
      <c r="J21" s="500">
        <v>6292710</v>
      </c>
      <c r="K21" s="500"/>
      <c r="L21" s="506">
        <f aca="true" t="shared" si="6" ref="L21:L43">J21+K21</f>
        <v>6292710</v>
      </c>
      <c r="M21" s="177">
        <v>335000</v>
      </c>
      <c r="N21" s="177">
        <v>4500000</v>
      </c>
      <c r="O21" s="177">
        <v>6500000</v>
      </c>
      <c r="P21" s="178">
        <v>1000000</v>
      </c>
      <c r="Q21" s="179">
        <f>SUM(L21:P21)</f>
        <v>18627710</v>
      </c>
    </row>
    <row r="22" spans="1:17" s="19" customFormat="1" ht="25.5" customHeight="1">
      <c r="A22" s="201"/>
      <c r="B22" s="374"/>
      <c r="C22" s="359"/>
      <c r="D22" s="359"/>
      <c r="E22" s="359"/>
      <c r="F22" s="180"/>
      <c r="G22" s="180"/>
      <c r="H22" s="180">
        <v>6058</v>
      </c>
      <c r="I22" s="181">
        <v>19960500</v>
      </c>
      <c r="J22" s="501">
        <v>5082999</v>
      </c>
      <c r="K22" s="501"/>
      <c r="L22" s="507">
        <f t="shared" si="6"/>
        <v>5082999</v>
      </c>
      <c r="M22" s="182">
        <v>14877501</v>
      </c>
      <c r="N22" s="183"/>
      <c r="O22" s="183"/>
      <c r="P22" s="183"/>
      <c r="Q22" s="184">
        <f aca="true" t="shared" si="7" ref="Q22:Q27">SUM(L22:O22)</f>
        <v>19960500</v>
      </c>
    </row>
    <row r="23" spans="1:17" s="19" customFormat="1" ht="25.5" customHeight="1">
      <c r="A23" s="360"/>
      <c r="B23" s="375"/>
      <c r="C23" s="361"/>
      <c r="D23" s="361"/>
      <c r="E23" s="361"/>
      <c r="F23" s="185"/>
      <c r="G23" s="185"/>
      <c r="H23" s="185">
        <v>6059</v>
      </c>
      <c r="I23" s="186">
        <f>Q23+3796198.91</f>
        <v>8179499.91</v>
      </c>
      <c r="J23" s="509">
        <v>2079541</v>
      </c>
      <c r="K23" s="502"/>
      <c r="L23" s="508">
        <f>J23+K23</f>
        <v>2079541</v>
      </c>
      <c r="M23" s="187">
        <v>2303760</v>
      </c>
      <c r="N23" s="188"/>
      <c r="O23" s="188"/>
      <c r="P23" s="188"/>
      <c r="Q23" s="184">
        <f t="shared" si="7"/>
        <v>4383301</v>
      </c>
    </row>
    <row r="24" spans="1:18" s="19" customFormat="1" ht="25.5" customHeight="1">
      <c r="A24" s="194" t="s">
        <v>171</v>
      </c>
      <c r="B24" s="646" t="s">
        <v>172</v>
      </c>
      <c r="C24" s="358" t="s">
        <v>167</v>
      </c>
      <c r="D24" s="358">
        <v>2004</v>
      </c>
      <c r="E24" s="358">
        <v>2013</v>
      </c>
      <c r="F24" s="649" t="s">
        <v>168</v>
      </c>
      <c r="G24" s="649"/>
      <c r="H24" s="649"/>
      <c r="I24" s="174">
        <f>SUM(I25:I27)</f>
        <v>29671509</v>
      </c>
      <c r="J24" s="498">
        <f>SUM(J25:J27)</f>
        <v>7948196</v>
      </c>
      <c r="K24" s="498"/>
      <c r="L24" s="498">
        <f t="shared" si="6"/>
        <v>7948196</v>
      </c>
      <c r="M24" s="174">
        <f>SUM(M25:M27)</f>
        <v>18255000</v>
      </c>
      <c r="N24" s="236">
        <v>0</v>
      </c>
      <c r="O24" s="173">
        <v>0</v>
      </c>
      <c r="P24" s="173">
        <v>0</v>
      </c>
      <c r="Q24" s="163">
        <f t="shared" si="7"/>
        <v>26203196</v>
      </c>
      <c r="R24" s="30">
        <f>Q25+Q26+Q27</f>
        <v>26203196</v>
      </c>
    </row>
    <row r="25" spans="1:17" s="19" customFormat="1" ht="25.5" customHeight="1">
      <c r="A25" s="201"/>
      <c r="B25" s="647"/>
      <c r="C25" s="359"/>
      <c r="D25" s="359"/>
      <c r="E25" s="359"/>
      <c r="F25" s="175" t="s">
        <v>169</v>
      </c>
      <c r="G25" s="175" t="s">
        <v>170</v>
      </c>
      <c r="H25" s="175">
        <v>6050</v>
      </c>
      <c r="I25" s="176">
        <v>5916509</v>
      </c>
      <c r="J25" s="500">
        <v>1948196</v>
      </c>
      <c r="K25" s="500"/>
      <c r="L25" s="506">
        <f t="shared" si="6"/>
        <v>1948196</v>
      </c>
      <c r="M25" s="177">
        <v>500000</v>
      </c>
      <c r="N25" s="178"/>
      <c r="O25" s="178"/>
      <c r="P25" s="178"/>
      <c r="Q25" s="179">
        <f t="shared" si="7"/>
        <v>2448196</v>
      </c>
    </row>
    <row r="26" spans="1:17" s="19" customFormat="1" ht="24.75" customHeight="1">
      <c r="A26" s="201"/>
      <c r="B26" s="376"/>
      <c r="C26" s="359"/>
      <c r="D26" s="359"/>
      <c r="E26" s="359"/>
      <c r="F26" s="180"/>
      <c r="G26" s="180"/>
      <c r="H26" s="180">
        <v>6058</v>
      </c>
      <c r="I26" s="181">
        <v>19835000</v>
      </c>
      <c r="J26" s="501">
        <v>3600000</v>
      </c>
      <c r="K26" s="501"/>
      <c r="L26" s="507">
        <f t="shared" si="6"/>
        <v>3600000</v>
      </c>
      <c r="M26" s="182">
        <v>16235000</v>
      </c>
      <c r="N26" s="183"/>
      <c r="O26" s="183"/>
      <c r="P26" s="183"/>
      <c r="Q26" s="184">
        <f t="shared" si="7"/>
        <v>19835000</v>
      </c>
    </row>
    <row r="27" spans="1:17" s="19" customFormat="1" ht="24.75" customHeight="1">
      <c r="A27" s="360"/>
      <c r="B27" s="375"/>
      <c r="C27" s="362"/>
      <c r="D27" s="362"/>
      <c r="E27" s="361"/>
      <c r="F27" s="185"/>
      <c r="G27" s="185"/>
      <c r="H27" s="185">
        <v>6059</v>
      </c>
      <c r="I27" s="186">
        <v>3920000</v>
      </c>
      <c r="J27" s="502">
        <v>2400000</v>
      </c>
      <c r="K27" s="502"/>
      <c r="L27" s="508">
        <f t="shared" si="6"/>
        <v>2400000</v>
      </c>
      <c r="M27" s="187">
        <v>1520000</v>
      </c>
      <c r="N27" s="188"/>
      <c r="O27" s="188"/>
      <c r="P27" s="188"/>
      <c r="Q27" s="189">
        <f t="shared" si="7"/>
        <v>3920000</v>
      </c>
    </row>
    <row r="28" spans="1:17" s="19" customFormat="1" ht="51.75" customHeight="1">
      <c r="A28" s="360" t="s">
        <v>246</v>
      </c>
      <c r="B28" s="377" t="s">
        <v>255</v>
      </c>
      <c r="C28" s="383" t="s">
        <v>167</v>
      </c>
      <c r="D28" s="361">
        <v>2011</v>
      </c>
      <c r="E28" s="361">
        <v>2012</v>
      </c>
      <c r="F28" s="385" t="s">
        <v>169</v>
      </c>
      <c r="G28" s="385" t="s">
        <v>170</v>
      </c>
      <c r="H28" s="361">
        <v>6050</v>
      </c>
      <c r="I28" s="371">
        <v>140000</v>
      </c>
      <c r="J28" s="503">
        <v>136000</v>
      </c>
      <c r="K28" s="503"/>
      <c r="L28" s="498">
        <f t="shared" si="6"/>
        <v>136000</v>
      </c>
      <c r="M28" s="372"/>
      <c r="N28" s="373"/>
      <c r="O28" s="373"/>
      <c r="P28" s="373"/>
      <c r="Q28" s="511">
        <f>SUM(L28:P28)</f>
        <v>136000</v>
      </c>
    </row>
    <row r="29" spans="1:17" s="19" customFormat="1" ht="50.25" customHeight="1">
      <c r="A29" s="360" t="s">
        <v>247</v>
      </c>
      <c r="B29" s="377" t="s">
        <v>256</v>
      </c>
      <c r="C29" s="383" t="s">
        <v>167</v>
      </c>
      <c r="D29" s="361">
        <v>2011</v>
      </c>
      <c r="E29" s="361">
        <v>2012</v>
      </c>
      <c r="F29" s="385" t="s">
        <v>169</v>
      </c>
      <c r="G29" s="385" t="s">
        <v>170</v>
      </c>
      <c r="H29" s="361">
        <v>6050</v>
      </c>
      <c r="I29" s="371">
        <v>272000</v>
      </c>
      <c r="J29" s="503">
        <v>268000</v>
      </c>
      <c r="K29" s="503"/>
      <c r="L29" s="498">
        <f t="shared" si="6"/>
        <v>268000</v>
      </c>
      <c r="M29" s="372"/>
      <c r="N29" s="373"/>
      <c r="O29" s="373"/>
      <c r="P29" s="373"/>
      <c r="Q29" s="189">
        <f aca="true" t="shared" si="8" ref="Q29:Q38">SUM(L29:P29)</f>
        <v>268000</v>
      </c>
    </row>
    <row r="30" spans="1:17" s="19" customFormat="1" ht="35.25" customHeight="1">
      <c r="A30" s="360" t="s">
        <v>253</v>
      </c>
      <c r="B30" s="378" t="s">
        <v>309</v>
      </c>
      <c r="C30" s="520" t="s">
        <v>167</v>
      </c>
      <c r="D30" s="361">
        <v>2011</v>
      </c>
      <c r="E30" s="361">
        <v>2012</v>
      </c>
      <c r="F30" s="361">
        <v>900</v>
      </c>
      <c r="G30" s="361">
        <v>90001</v>
      </c>
      <c r="H30" s="361">
        <v>6050</v>
      </c>
      <c r="I30" s="371">
        <v>100000</v>
      </c>
      <c r="J30" s="503">
        <v>98000</v>
      </c>
      <c r="K30" s="503"/>
      <c r="L30" s="498">
        <f t="shared" si="6"/>
        <v>98000</v>
      </c>
      <c r="M30" s="372"/>
      <c r="N30" s="373"/>
      <c r="O30" s="373"/>
      <c r="P30" s="373"/>
      <c r="Q30" s="189">
        <f t="shared" si="8"/>
        <v>98000</v>
      </c>
    </row>
    <row r="31" spans="1:17" s="19" customFormat="1" ht="21.75" customHeight="1">
      <c r="A31" s="360" t="s">
        <v>254</v>
      </c>
      <c r="B31" s="377" t="s">
        <v>197</v>
      </c>
      <c r="C31" s="515" t="s">
        <v>284</v>
      </c>
      <c r="D31" s="361">
        <v>2011</v>
      </c>
      <c r="E31" s="361">
        <v>2012</v>
      </c>
      <c r="F31" s="361">
        <v>900</v>
      </c>
      <c r="G31" s="361">
        <v>90001</v>
      </c>
      <c r="H31" s="361">
        <v>6050</v>
      </c>
      <c r="I31" s="371">
        <v>2229454</v>
      </c>
      <c r="J31" s="503">
        <v>1800000</v>
      </c>
      <c r="K31" s="503"/>
      <c r="L31" s="498">
        <f t="shared" si="6"/>
        <v>1800000</v>
      </c>
      <c r="M31" s="372"/>
      <c r="N31" s="373"/>
      <c r="O31" s="373"/>
      <c r="P31" s="373"/>
      <c r="Q31" s="189">
        <f t="shared" si="8"/>
        <v>1800000</v>
      </c>
    </row>
    <row r="32" spans="1:17" s="19" customFormat="1" ht="66" customHeight="1" thickBot="1">
      <c r="A32" s="360" t="s">
        <v>268</v>
      </c>
      <c r="B32" s="529" t="s">
        <v>323</v>
      </c>
      <c r="C32" s="526" t="s">
        <v>284</v>
      </c>
      <c r="D32" s="361">
        <v>2011</v>
      </c>
      <c r="E32" s="361">
        <v>2012</v>
      </c>
      <c r="F32" s="361">
        <v>900</v>
      </c>
      <c r="G32" s="361">
        <v>90001</v>
      </c>
      <c r="H32" s="361">
        <v>6050</v>
      </c>
      <c r="I32" s="371">
        <v>51000</v>
      </c>
      <c r="J32" s="503">
        <v>50000</v>
      </c>
      <c r="K32" s="503"/>
      <c r="L32" s="498">
        <f t="shared" si="6"/>
        <v>50000</v>
      </c>
      <c r="M32" s="372"/>
      <c r="N32" s="373"/>
      <c r="O32" s="373"/>
      <c r="P32" s="373"/>
      <c r="Q32" s="189">
        <f t="shared" si="8"/>
        <v>50000</v>
      </c>
    </row>
    <row r="33" spans="1:17" s="19" customFormat="1" ht="19.5" customHeight="1">
      <c r="A33" s="637" t="s">
        <v>113</v>
      </c>
      <c r="B33" s="638" t="s">
        <v>146</v>
      </c>
      <c r="C33" s="639" t="s">
        <v>147</v>
      </c>
      <c r="D33" s="640" t="s">
        <v>234</v>
      </c>
      <c r="E33" s="640"/>
      <c r="F33" s="640" t="s">
        <v>148</v>
      </c>
      <c r="G33" s="640"/>
      <c r="H33" s="640"/>
      <c r="I33" s="641" t="s">
        <v>149</v>
      </c>
      <c r="J33" s="644" t="s">
        <v>330</v>
      </c>
      <c r="K33" s="644"/>
      <c r="L33" s="644"/>
      <c r="M33" s="644"/>
      <c r="N33" s="644"/>
      <c r="O33" s="644"/>
      <c r="P33" s="644"/>
      <c r="Q33" s="636" t="s">
        <v>150</v>
      </c>
    </row>
    <row r="34" spans="1:17" s="19" customFormat="1" ht="11.25" customHeight="1">
      <c r="A34" s="626"/>
      <c r="B34" s="629"/>
      <c r="C34" s="631"/>
      <c r="D34" s="634"/>
      <c r="E34" s="634"/>
      <c r="F34" s="634"/>
      <c r="G34" s="634"/>
      <c r="H34" s="634"/>
      <c r="I34" s="624"/>
      <c r="J34" s="621">
        <v>2012</v>
      </c>
      <c r="K34" s="622"/>
      <c r="L34" s="622"/>
      <c r="M34" s="623">
        <v>2013</v>
      </c>
      <c r="N34" s="623">
        <v>2014</v>
      </c>
      <c r="O34" s="623">
        <v>2015</v>
      </c>
      <c r="P34" s="623">
        <v>2016</v>
      </c>
      <c r="Q34" s="618"/>
    </row>
    <row r="35" spans="1:17" s="19" customFormat="1" ht="9.75" customHeight="1">
      <c r="A35" s="627"/>
      <c r="B35" s="630"/>
      <c r="C35" s="632"/>
      <c r="D35" s="623" t="s">
        <v>151</v>
      </c>
      <c r="E35" s="623" t="s">
        <v>152</v>
      </c>
      <c r="F35" s="615" t="s">
        <v>153</v>
      </c>
      <c r="G35" s="615" t="s">
        <v>154</v>
      </c>
      <c r="H35" s="615" t="s">
        <v>155</v>
      </c>
      <c r="I35" s="635"/>
      <c r="J35" s="621"/>
      <c r="K35" s="622"/>
      <c r="L35" s="622"/>
      <c r="M35" s="624"/>
      <c r="N35" s="624"/>
      <c r="O35" s="624"/>
      <c r="P35" s="624"/>
      <c r="Q35" s="619"/>
    </row>
    <row r="36" spans="1:17" s="19" customFormat="1" ht="20.25" customHeight="1" thickBot="1">
      <c r="A36" s="628"/>
      <c r="B36" s="616"/>
      <c r="C36" s="616"/>
      <c r="D36" s="616"/>
      <c r="E36" s="616"/>
      <c r="F36" s="616"/>
      <c r="G36" s="616"/>
      <c r="H36" s="616"/>
      <c r="I36" s="616"/>
      <c r="J36" s="496" t="s">
        <v>327</v>
      </c>
      <c r="K36" s="496" t="s">
        <v>328</v>
      </c>
      <c r="L36" s="496" t="s">
        <v>329</v>
      </c>
      <c r="M36" s="625"/>
      <c r="N36" s="625"/>
      <c r="O36" s="625"/>
      <c r="P36" s="625"/>
      <c r="Q36" s="620"/>
    </row>
    <row r="37" spans="1:17" s="19" customFormat="1" ht="43.5" customHeight="1">
      <c r="A37" s="360" t="s">
        <v>274</v>
      </c>
      <c r="B37" s="527" t="s">
        <v>320</v>
      </c>
      <c r="C37" s="361" t="s">
        <v>284</v>
      </c>
      <c r="D37" s="361">
        <v>2011</v>
      </c>
      <c r="E37" s="361">
        <v>2012</v>
      </c>
      <c r="F37" s="361">
        <v>900</v>
      </c>
      <c r="G37" s="361">
        <v>90001</v>
      </c>
      <c r="H37" s="361">
        <v>6050</v>
      </c>
      <c r="I37" s="371"/>
      <c r="J37" s="503">
        <v>70000</v>
      </c>
      <c r="K37" s="503">
        <v>-70000</v>
      </c>
      <c r="L37" s="528">
        <f t="shared" si="6"/>
        <v>0</v>
      </c>
      <c r="M37" s="372"/>
      <c r="N37" s="373"/>
      <c r="O37" s="373"/>
      <c r="P37" s="373"/>
      <c r="Q37" s="511">
        <f t="shared" si="8"/>
        <v>0</v>
      </c>
    </row>
    <row r="38" spans="1:17" s="19" customFormat="1" ht="47.25" customHeight="1">
      <c r="A38" s="360" t="s">
        <v>315</v>
      </c>
      <c r="B38" s="377" t="s">
        <v>285</v>
      </c>
      <c r="C38" s="515" t="s">
        <v>284</v>
      </c>
      <c r="D38" s="361">
        <v>2011</v>
      </c>
      <c r="E38" s="361">
        <v>2012</v>
      </c>
      <c r="F38" s="361">
        <v>900</v>
      </c>
      <c r="G38" s="361">
        <v>90001</v>
      </c>
      <c r="H38" s="361">
        <v>6050</v>
      </c>
      <c r="I38" s="371">
        <v>51000</v>
      </c>
      <c r="J38" s="503">
        <v>50000</v>
      </c>
      <c r="K38" s="503"/>
      <c r="L38" s="498">
        <f t="shared" si="6"/>
        <v>50000</v>
      </c>
      <c r="M38" s="372"/>
      <c r="N38" s="373"/>
      <c r="O38" s="373"/>
      <c r="P38" s="373"/>
      <c r="Q38" s="189">
        <f t="shared" si="8"/>
        <v>50000</v>
      </c>
    </row>
    <row r="39" spans="1:19" s="38" customFormat="1" ht="30.75" customHeight="1">
      <c r="A39" s="392" t="s">
        <v>173</v>
      </c>
      <c r="B39" s="393" t="s">
        <v>174</v>
      </c>
      <c r="C39" s="355" t="s">
        <v>164</v>
      </c>
      <c r="D39" s="355">
        <v>2009</v>
      </c>
      <c r="E39" s="355">
        <v>2015</v>
      </c>
      <c r="F39" s="645" t="s">
        <v>239</v>
      </c>
      <c r="G39" s="645"/>
      <c r="H39" s="645"/>
      <c r="I39" s="191">
        <f aca="true" t="shared" si="9" ref="I39:Q39">SUM(I40:I43,I44:I49)</f>
        <v>13608430</v>
      </c>
      <c r="J39" s="191">
        <f t="shared" si="9"/>
        <v>1706000</v>
      </c>
      <c r="K39" s="191">
        <f t="shared" si="9"/>
        <v>77000</v>
      </c>
      <c r="L39" s="191">
        <f t="shared" si="9"/>
        <v>1783000</v>
      </c>
      <c r="M39" s="191">
        <f t="shared" si="9"/>
        <v>4245000</v>
      </c>
      <c r="N39" s="191">
        <f t="shared" si="9"/>
        <v>4540000</v>
      </c>
      <c r="O39" s="191">
        <f t="shared" si="9"/>
        <v>2800000</v>
      </c>
      <c r="P39" s="191">
        <f t="shared" si="9"/>
        <v>0</v>
      </c>
      <c r="Q39" s="191">
        <f t="shared" si="9"/>
        <v>13368000</v>
      </c>
      <c r="R39" s="44">
        <f>SUM(L39:P39)</f>
        <v>13368000</v>
      </c>
      <c r="S39" s="44">
        <f>R39-Q39</f>
        <v>0</v>
      </c>
    </row>
    <row r="40" spans="1:19" s="38" customFormat="1" ht="48" customHeight="1">
      <c r="A40" s="171" t="s">
        <v>175</v>
      </c>
      <c r="B40" s="218" t="s">
        <v>199</v>
      </c>
      <c r="C40" s="383" t="s">
        <v>177</v>
      </c>
      <c r="D40" s="383">
        <v>2011</v>
      </c>
      <c r="E40" s="383">
        <v>2014</v>
      </c>
      <c r="F40" s="383">
        <v>700</v>
      </c>
      <c r="G40" s="383">
        <v>70005</v>
      </c>
      <c r="H40" s="383">
        <v>6050</v>
      </c>
      <c r="I40" s="55">
        <v>2543000</v>
      </c>
      <c r="J40" s="504">
        <v>97000</v>
      </c>
      <c r="K40" s="504"/>
      <c r="L40" s="498">
        <f t="shared" si="6"/>
        <v>97000</v>
      </c>
      <c r="M40" s="55">
        <v>445000</v>
      </c>
      <c r="N40" s="174">
        <v>2000000</v>
      </c>
      <c r="O40" s="384">
        <v>0</v>
      </c>
      <c r="P40" s="384">
        <v>0</v>
      </c>
      <c r="Q40" s="163">
        <f>SUM(L40:P40)</f>
        <v>2542000</v>
      </c>
      <c r="R40" s="44"/>
      <c r="S40" s="44"/>
    </row>
    <row r="41" spans="1:18" s="38" customFormat="1" ht="42.75" customHeight="1">
      <c r="A41" s="201" t="s">
        <v>178</v>
      </c>
      <c r="B41" s="469" t="s">
        <v>233</v>
      </c>
      <c r="C41" s="480" t="s">
        <v>177</v>
      </c>
      <c r="D41" s="480">
        <v>2011</v>
      </c>
      <c r="E41" s="480">
        <v>2013</v>
      </c>
      <c r="F41" s="175">
        <v>852</v>
      </c>
      <c r="G41" s="175">
        <v>85219</v>
      </c>
      <c r="H41" s="175">
        <v>6050</v>
      </c>
      <c r="I41" s="176">
        <v>1370070</v>
      </c>
      <c r="J41" s="500">
        <v>800000</v>
      </c>
      <c r="K41" s="500"/>
      <c r="L41" s="498">
        <f t="shared" si="6"/>
        <v>800000</v>
      </c>
      <c r="M41" s="178">
        <v>500000</v>
      </c>
      <c r="N41" s="178"/>
      <c r="O41" s="178"/>
      <c r="P41" s="178"/>
      <c r="Q41" s="163">
        <f>SUM(L41:P41)</f>
        <v>1300000</v>
      </c>
      <c r="R41" s="44"/>
    </row>
    <row r="42" spans="1:18" s="38" customFormat="1" ht="39" customHeight="1">
      <c r="A42" s="171" t="s">
        <v>180</v>
      </c>
      <c r="B42" s="378" t="s">
        <v>257</v>
      </c>
      <c r="C42" s="383" t="s">
        <v>177</v>
      </c>
      <c r="D42" s="383">
        <v>2011</v>
      </c>
      <c r="E42" s="383">
        <v>2012</v>
      </c>
      <c r="F42" s="383">
        <v>900</v>
      </c>
      <c r="G42" s="383">
        <v>90015</v>
      </c>
      <c r="H42" s="383">
        <v>6050</v>
      </c>
      <c r="I42" s="55">
        <v>150500</v>
      </c>
      <c r="J42" s="504">
        <v>65000</v>
      </c>
      <c r="K42" s="504">
        <v>77000</v>
      </c>
      <c r="L42" s="498">
        <f t="shared" si="6"/>
        <v>142000</v>
      </c>
      <c r="M42" s="174"/>
      <c r="N42" s="384">
        <v>0</v>
      </c>
      <c r="O42" s="384">
        <v>0</v>
      </c>
      <c r="P42" s="384">
        <v>0</v>
      </c>
      <c r="Q42" s="163">
        <f>SUM(L42:P42)</f>
        <v>142000</v>
      </c>
      <c r="R42" s="44"/>
    </row>
    <row r="43" spans="1:18" s="38" customFormat="1" ht="44.25" customHeight="1">
      <c r="A43" s="194" t="s">
        <v>182</v>
      </c>
      <c r="B43" s="401" t="s">
        <v>250</v>
      </c>
      <c r="C43" s="172" t="s">
        <v>177</v>
      </c>
      <c r="D43" s="172">
        <v>2011</v>
      </c>
      <c r="E43" s="172">
        <v>2012</v>
      </c>
      <c r="F43" s="172">
        <v>900</v>
      </c>
      <c r="G43" s="172">
        <v>90015</v>
      </c>
      <c r="H43" s="172">
        <v>6050</v>
      </c>
      <c r="I43" s="192">
        <v>10000</v>
      </c>
      <c r="J43" s="505">
        <v>9000</v>
      </c>
      <c r="K43" s="505"/>
      <c r="L43" s="498">
        <f t="shared" si="6"/>
        <v>9000</v>
      </c>
      <c r="M43" s="367"/>
      <c r="N43" s="193">
        <v>0</v>
      </c>
      <c r="O43" s="193">
        <v>0</v>
      </c>
      <c r="P43" s="193">
        <v>0</v>
      </c>
      <c r="Q43" s="163">
        <f>SUM(L43:P43)</f>
        <v>9000</v>
      </c>
      <c r="R43" s="44"/>
    </row>
    <row r="44" spans="1:18" s="38" customFormat="1" ht="41.25" customHeight="1">
      <c r="A44" s="171" t="s">
        <v>235</v>
      </c>
      <c r="B44" s="218" t="s">
        <v>236</v>
      </c>
      <c r="C44" s="383" t="s">
        <v>177</v>
      </c>
      <c r="D44" s="383">
        <v>2011</v>
      </c>
      <c r="E44" s="383">
        <v>2012</v>
      </c>
      <c r="F44" s="383">
        <v>900</v>
      </c>
      <c r="G44" s="383">
        <v>90015</v>
      </c>
      <c r="H44" s="383">
        <v>6050</v>
      </c>
      <c r="I44" s="55">
        <v>15000</v>
      </c>
      <c r="J44" s="55">
        <v>10000</v>
      </c>
      <c r="K44" s="55"/>
      <c r="L44" s="55">
        <f aca="true" t="shared" si="10" ref="L44:L54">J44+K44</f>
        <v>10000</v>
      </c>
      <c r="M44" s="174"/>
      <c r="N44" s="384">
        <v>0</v>
      </c>
      <c r="O44" s="384">
        <v>0</v>
      </c>
      <c r="P44" s="384">
        <v>0</v>
      </c>
      <c r="Q44" s="163">
        <f aca="true" t="shared" si="11" ref="Q44:Q49">SUM(L44:P44)</f>
        <v>10000</v>
      </c>
      <c r="R44" s="44"/>
    </row>
    <row r="45" spans="1:18" s="38" customFormat="1" ht="40.5" customHeight="1">
      <c r="A45" s="171" t="s">
        <v>237</v>
      </c>
      <c r="B45" s="380" t="s">
        <v>351</v>
      </c>
      <c r="C45" s="383" t="s">
        <v>177</v>
      </c>
      <c r="D45" s="383">
        <v>2011</v>
      </c>
      <c r="E45" s="383">
        <v>2012</v>
      </c>
      <c r="F45" s="383">
        <v>900</v>
      </c>
      <c r="G45" s="383">
        <v>90015</v>
      </c>
      <c r="H45" s="383">
        <v>6050</v>
      </c>
      <c r="I45" s="55">
        <v>6000</v>
      </c>
      <c r="J45" s="55">
        <v>5000</v>
      </c>
      <c r="K45" s="55"/>
      <c r="L45" s="55">
        <f t="shared" si="10"/>
        <v>5000</v>
      </c>
      <c r="M45" s="174"/>
      <c r="N45" s="384">
        <v>0</v>
      </c>
      <c r="O45" s="384">
        <v>0</v>
      </c>
      <c r="P45" s="384">
        <v>0</v>
      </c>
      <c r="Q45" s="163">
        <f t="shared" si="11"/>
        <v>5000</v>
      </c>
      <c r="R45" s="44"/>
    </row>
    <row r="46" spans="1:17" s="19" customFormat="1" ht="20.25" customHeight="1">
      <c r="A46" s="171" t="s">
        <v>238</v>
      </c>
      <c r="B46" s="472" t="s">
        <v>176</v>
      </c>
      <c r="C46" s="470" t="s">
        <v>177</v>
      </c>
      <c r="D46" s="361">
        <v>2010</v>
      </c>
      <c r="E46" s="361">
        <v>2014</v>
      </c>
      <c r="F46" s="470">
        <v>921</v>
      </c>
      <c r="G46" s="470">
        <v>92109</v>
      </c>
      <c r="H46" s="470">
        <v>6050</v>
      </c>
      <c r="I46" s="55">
        <v>1505880</v>
      </c>
      <c r="J46" s="176">
        <v>150000</v>
      </c>
      <c r="K46" s="176"/>
      <c r="L46" s="55">
        <f t="shared" si="10"/>
        <v>150000</v>
      </c>
      <c r="M46" s="177">
        <v>1000000</v>
      </c>
      <c r="N46" s="177">
        <v>350000</v>
      </c>
      <c r="O46" s="178"/>
      <c r="P46" s="178"/>
      <c r="Q46" s="163">
        <f t="shared" si="11"/>
        <v>1500000</v>
      </c>
    </row>
    <row r="47" spans="1:17" s="19" customFormat="1" ht="21" customHeight="1">
      <c r="A47" s="171" t="s">
        <v>248</v>
      </c>
      <c r="B47" s="56" t="s">
        <v>179</v>
      </c>
      <c r="C47" s="470" t="s">
        <v>290</v>
      </c>
      <c r="D47" s="470">
        <v>2010</v>
      </c>
      <c r="E47" s="470">
        <v>2014</v>
      </c>
      <c r="F47" s="470">
        <v>921</v>
      </c>
      <c r="G47" s="470">
        <v>92109</v>
      </c>
      <c r="H47" s="470">
        <v>6050</v>
      </c>
      <c r="I47" s="55">
        <v>3169880</v>
      </c>
      <c r="J47" s="176">
        <v>420000</v>
      </c>
      <c r="K47" s="176"/>
      <c r="L47" s="55">
        <f t="shared" si="10"/>
        <v>420000</v>
      </c>
      <c r="M47" s="177">
        <v>800000</v>
      </c>
      <c r="N47" s="177">
        <v>1940000</v>
      </c>
      <c r="O47" s="178"/>
      <c r="P47" s="178"/>
      <c r="Q47" s="163">
        <f t="shared" si="11"/>
        <v>3160000</v>
      </c>
    </row>
    <row r="48" spans="1:17" s="19" customFormat="1" ht="33.75" customHeight="1">
      <c r="A48" s="171" t="s">
        <v>249</v>
      </c>
      <c r="B48" s="56" t="s">
        <v>181</v>
      </c>
      <c r="C48" s="470" t="s">
        <v>177</v>
      </c>
      <c r="D48" s="470">
        <v>2009</v>
      </c>
      <c r="E48" s="470">
        <v>2015</v>
      </c>
      <c r="F48" s="470">
        <v>921</v>
      </c>
      <c r="G48" s="470">
        <v>92109</v>
      </c>
      <c r="H48" s="470">
        <v>6050</v>
      </c>
      <c r="I48" s="55">
        <v>2933220</v>
      </c>
      <c r="J48" s="192"/>
      <c r="K48" s="192"/>
      <c r="L48" s="55">
        <f t="shared" si="10"/>
        <v>0</v>
      </c>
      <c r="M48" s="192"/>
      <c r="N48" s="193"/>
      <c r="O48" s="367">
        <v>2800000</v>
      </c>
      <c r="P48" s="193"/>
      <c r="Q48" s="163">
        <f t="shared" si="11"/>
        <v>2800000</v>
      </c>
    </row>
    <row r="49" spans="1:17" s="19" customFormat="1" ht="25.5" customHeight="1">
      <c r="A49" s="171" t="s">
        <v>258</v>
      </c>
      <c r="B49" s="56" t="s">
        <v>183</v>
      </c>
      <c r="C49" s="470" t="s">
        <v>177</v>
      </c>
      <c r="D49" s="470">
        <v>2010</v>
      </c>
      <c r="E49" s="470">
        <v>2014</v>
      </c>
      <c r="F49" s="470">
        <v>921</v>
      </c>
      <c r="G49" s="470">
        <v>92109</v>
      </c>
      <c r="H49" s="470">
        <v>6050</v>
      </c>
      <c r="I49" s="55">
        <v>1904880</v>
      </c>
      <c r="J49" s="176">
        <v>150000</v>
      </c>
      <c r="K49" s="176"/>
      <c r="L49" s="55">
        <f t="shared" si="10"/>
        <v>150000</v>
      </c>
      <c r="M49" s="177">
        <v>1500000</v>
      </c>
      <c r="N49" s="178">
        <v>250000</v>
      </c>
      <c r="O49" s="178"/>
      <c r="P49" s="178"/>
      <c r="Q49" s="163">
        <f t="shared" si="11"/>
        <v>1900000</v>
      </c>
    </row>
    <row r="50" spans="1:18" s="38" customFormat="1" ht="27" customHeight="1">
      <c r="A50" s="389" t="s">
        <v>184</v>
      </c>
      <c r="B50" s="390" t="s">
        <v>185</v>
      </c>
      <c r="C50" s="382" t="s">
        <v>164</v>
      </c>
      <c r="D50" s="382">
        <v>2006</v>
      </c>
      <c r="E50" s="382">
        <v>2015</v>
      </c>
      <c r="F50" s="382"/>
      <c r="G50" s="382"/>
      <c r="H50" s="382"/>
      <c r="I50" s="191">
        <f aca="true" t="shared" si="12" ref="I50:P50">I51+I59+I60</f>
        <v>98103122</v>
      </c>
      <c r="J50" s="391">
        <f t="shared" si="12"/>
        <v>27287000</v>
      </c>
      <c r="K50" s="391">
        <f t="shared" si="12"/>
        <v>0</v>
      </c>
      <c r="L50" s="391">
        <f t="shared" si="10"/>
        <v>27287000</v>
      </c>
      <c r="M50" s="391">
        <f t="shared" si="12"/>
        <v>26700000</v>
      </c>
      <c r="N50" s="391">
        <f t="shared" si="12"/>
        <v>11400000</v>
      </c>
      <c r="O50" s="391">
        <f t="shared" si="12"/>
        <v>29000000</v>
      </c>
      <c r="P50" s="391">
        <f t="shared" si="12"/>
        <v>0</v>
      </c>
      <c r="Q50" s="391">
        <f>Q51+Q59+Q60</f>
        <v>94387000</v>
      </c>
      <c r="R50" s="44">
        <f>SUM(L50:P50)</f>
        <v>94387000</v>
      </c>
    </row>
    <row r="51" spans="1:18" s="19" customFormat="1" ht="48" customHeight="1" thickBot="1">
      <c r="A51" s="194" t="s">
        <v>186</v>
      </c>
      <c r="B51" s="190" t="s">
        <v>230</v>
      </c>
      <c r="C51" s="386" t="s">
        <v>167</v>
      </c>
      <c r="D51" s="387">
        <v>2006</v>
      </c>
      <c r="E51" s="387">
        <v>2015</v>
      </c>
      <c r="F51" s="650" t="s">
        <v>168</v>
      </c>
      <c r="G51" s="650"/>
      <c r="H51" s="650"/>
      <c r="I51" s="388">
        <f>SUM(I52:I58)</f>
        <v>95781122</v>
      </c>
      <c r="J51" s="388">
        <f aca="true" t="shared" si="13" ref="J51:Q51">SUM(J52:J58)</f>
        <v>26760000</v>
      </c>
      <c r="K51" s="388"/>
      <c r="L51" s="388">
        <f t="shared" si="10"/>
        <v>26760000</v>
      </c>
      <c r="M51" s="388">
        <f t="shared" si="13"/>
        <v>25000000</v>
      </c>
      <c r="N51" s="388">
        <f t="shared" si="13"/>
        <v>11400000</v>
      </c>
      <c r="O51" s="388">
        <f t="shared" si="13"/>
        <v>29000000</v>
      </c>
      <c r="P51" s="388">
        <f t="shared" si="13"/>
        <v>0</v>
      </c>
      <c r="Q51" s="388">
        <f t="shared" si="13"/>
        <v>92160000</v>
      </c>
      <c r="R51" s="30">
        <f>Q51+Q59+Q60</f>
        <v>94387000</v>
      </c>
    </row>
    <row r="52" spans="1:17" s="19" customFormat="1" ht="20.25" customHeight="1">
      <c r="A52" s="195"/>
      <c r="B52" s="344" t="s">
        <v>187</v>
      </c>
      <c r="C52" s="196"/>
      <c r="D52" s="196"/>
      <c r="E52" s="196"/>
      <c r="F52" s="196">
        <v>801</v>
      </c>
      <c r="G52" s="196">
        <v>80101</v>
      </c>
      <c r="H52" s="196">
        <v>6050</v>
      </c>
      <c r="I52" s="197">
        <v>24821122</v>
      </c>
      <c r="J52" s="197">
        <v>13760000</v>
      </c>
      <c r="K52" s="197"/>
      <c r="L52" s="197">
        <f t="shared" si="10"/>
        <v>13760000</v>
      </c>
      <c r="M52" s="198">
        <v>7440000</v>
      </c>
      <c r="N52" s="199"/>
      <c r="O52" s="199"/>
      <c r="P52" s="199"/>
      <c r="Q52" s="200">
        <f>SUM(L52:P52)</f>
        <v>21200000</v>
      </c>
    </row>
    <row r="53" spans="1:17" s="19" customFormat="1" ht="19.5" customHeight="1">
      <c r="A53" s="201"/>
      <c r="B53" s="345" t="s">
        <v>321</v>
      </c>
      <c r="C53" s="180"/>
      <c r="D53" s="180"/>
      <c r="E53" s="180"/>
      <c r="F53" s="180"/>
      <c r="G53" s="180"/>
      <c r="H53" s="180">
        <v>6058</v>
      </c>
      <c r="I53" s="181">
        <v>10000000</v>
      </c>
      <c r="J53" s="181">
        <v>10000000</v>
      </c>
      <c r="K53" s="181"/>
      <c r="L53" s="181">
        <f t="shared" si="10"/>
        <v>10000000</v>
      </c>
      <c r="M53" s="182"/>
      <c r="N53" s="183"/>
      <c r="O53" s="183"/>
      <c r="P53" s="183"/>
      <c r="Q53" s="184">
        <f aca="true" t="shared" si="14" ref="Q53:Q60">SUM(L53:P53)</f>
        <v>10000000</v>
      </c>
    </row>
    <row r="54" spans="1:17" s="19" customFormat="1" ht="25.5" customHeight="1" thickBot="1">
      <c r="A54" s="202"/>
      <c r="B54" s="203"/>
      <c r="C54" s="204"/>
      <c r="D54" s="204"/>
      <c r="E54" s="204"/>
      <c r="F54" s="204"/>
      <c r="G54" s="204"/>
      <c r="H54" s="204">
        <v>6059</v>
      </c>
      <c r="I54" s="205">
        <v>20560000</v>
      </c>
      <c r="J54" s="205">
        <v>3000000</v>
      </c>
      <c r="K54" s="205"/>
      <c r="L54" s="205">
        <f t="shared" si="10"/>
        <v>3000000</v>
      </c>
      <c r="M54" s="206">
        <v>17560000</v>
      </c>
      <c r="N54" s="207"/>
      <c r="O54" s="207"/>
      <c r="P54" s="207"/>
      <c r="Q54" s="208">
        <f t="shared" si="14"/>
        <v>20560000</v>
      </c>
    </row>
    <row r="55" spans="1:17" s="19" customFormat="1" ht="20.25" customHeight="1">
      <c r="A55" s="195"/>
      <c r="B55" s="471" t="s">
        <v>188</v>
      </c>
      <c r="C55" s="209"/>
      <c r="D55" s="209"/>
      <c r="E55" s="209"/>
      <c r="F55" s="209"/>
      <c r="G55" s="209"/>
      <c r="H55" s="209">
        <v>6058</v>
      </c>
      <c r="I55" s="210">
        <f>SUM(J55:O55)</f>
        <v>4000000</v>
      </c>
      <c r="J55" s="210"/>
      <c r="K55" s="210"/>
      <c r="L55" s="210"/>
      <c r="M55" s="210"/>
      <c r="N55" s="209"/>
      <c r="O55" s="210">
        <v>4000000</v>
      </c>
      <c r="P55" s="211"/>
      <c r="Q55" s="200">
        <f t="shared" si="14"/>
        <v>4000000</v>
      </c>
    </row>
    <row r="56" spans="1:17" s="19" customFormat="1" ht="25.5" customHeight="1" thickBot="1">
      <c r="A56" s="201"/>
      <c r="B56" s="471" t="s">
        <v>291</v>
      </c>
      <c r="C56" s="212"/>
      <c r="D56" s="212"/>
      <c r="E56" s="212"/>
      <c r="F56" s="212"/>
      <c r="G56" s="212"/>
      <c r="H56" s="212">
        <v>6059</v>
      </c>
      <c r="I56" s="213">
        <f>SUM(J56:O56)</f>
        <v>16400000</v>
      </c>
      <c r="J56" s="213"/>
      <c r="K56" s="213"/>
      <c r="L56" s="213"/>
      <c r="M56" s="213"/>
      <c r="N56" s="213">
        <v>6400000</v>
      </c>
      <c r="O56" s="213">
        <v>10000000</v>
      </c>
      <c r="P56" s="214"/>
      <c r="Q56" s="208">
        <f t="shared" si="14"/>
        <v>16400000</v>
      </c>
    </row>
    <row r="57" spans="1:17" s="19" customFormat="1" ht="15" customHeight="1">
      <c r="A57" s="195"/>
      <c r="B57" s="483" t="s">
        <v>189</v>
      </c>
      <c r="C57" s="196"/>
      <c r="D57" s="196"/>
      <c r="E57" s="196"/>
      <c r="F57" s="196"/>
      <c r="G57" s="196"/>
      <c r="H57" s="196">
        <v>6058</v>
      </c>
      <c r="I57" s="197">
        <f>SUM(J57:O57)</f>
        <v>5000000</v>
      </c>
      <c r="J57" s="197"/>
      <c r="K57" s="197"/>
      <c r="L57" s="197"/>
      <c r="M57" s="197"/>
      <c r="N57" s="197"/>
      <c r="O57" s="197">
        <v>5000000</v>
      </c>
      <c r="P57" s="199"/>
      <c r="Q57" s="200">
        <f t="shared" si="14"/>
        <v>5000000</v>
      </c>
    </row>
    <row r="58" spans="1:17" s="19" customFormat="1" ht="15" customHeight="1" thickBot="1">
      <c r="A58" s="202"/>
      <c r="B58" s="203" t="s">
        <v>292</v>
      </c>
      <c r="C58" s="204"/>
      <c r="D58" s="204"/>
      <c r="E58" s="204"/>
      <c r="F58" s="204"/>
      <c r="G58" s="204"/>
      <c r="H58" s="204">
        <v>6059</v>
      </c>
      <c r="I58" s="205">
        <f>SUM(J58:O58)</f>
        <v>15000000</v>
      </c>
      <c r="J58" s="205"/>
      <c r="K58" s="205"/>
      <c r="L58" s="205"/>
      <c r="M58" s="205"/>
      <c r="N58" s="205">
        <v>5000000</v>
      </c>
      <c r="O58" s="205">
        <v>10000000</v>
      </c>
      <c r="P58" s="207"/>
      <c r="Q58" s="208">
        <f t="shared" si="14"/>
        <v>15000000</v>
      </c>
    </row>
    <row r="59" spans="1:17" s="19" customFormat="1" ht="37.5" customHeight="1">
      <c r="A59" s="171" t="s">
        <v>240</v>
      </c>
      <c r="B59" s="218" t="s">
        <v>302</v>
      </c>
      <c r="C59" s="172" t="s">
        <v>167</v>
      </c>
      <c r="D59" s="366">
        <v>2011</v>
      </c>
      <c r="E59" s="366">
        <v>2012</v>
      </c>
      <c r="F59" s="366">
        <v>801</v>
      </c>
      <c r="G59" s="366">
        <v>80101</v>
      </c>
      <c r="H59" s="366">
        <v>6050</v>
      </c>
      <c r="I59" s="55">
        <v>225000</v>
      </c>
      <c r="J59" s="55">
        <v>220000</v>
      </c>
      <c r="K59" s="55"/>
      <c r="L59" s="55">
        <f>J59+K59</f>
        <v>220000</v>
      </c>
      <c r="M59" s="174"/>
      <c r="N59" s="365">
        <v>0</v>
      </c>
      <c r="O59" s="365">
        <v>0</v>
      </c>
      <c r="P59" s="365">
        <v>0</v>
      </c>
      <c r="Q59" s="530">
        <f t="shared" si="14"/>
        <v>220000</v>
      </c>
    </row>
    <row r="60" spans="1:17" s="19" customFormat="1" ht="30" customHeight="1">
      <c r="A60" s="171" t="s">
        <v>241</v>
      </c>
      <c r="B60" s="218" t="s">
        <v>200</v>
      </c>
      <c r="C60" s="533" t="s">
        <v>167</v>
      </c>
      <c r="D60" s="533">
        <v>2010</v>
      </c>
      <c r="E60" s="533">
        <v>2013</v>
      </c>
      <c r="F60" s="533">
        <v>801</v>
      </c>
      <c r="G60" s="533">
        <v>80104</v>
      </c>
      <c r="H60" s="533">
        <v>6050</v>
      </c>
      <c r="I60" s="55">
        <v>2097000</v>
      </c>
      <c r="J60" s="55">
        <v>307000</v>
      </c>
      <c r="K60" s="55"/>
      <c r="L60" s="55">
        <f>J60+K60</f>
        <v>307000</v>
      </c>
      <c r="M60" s="174">
        <v>1700000</v>
      </c>
      <c r="N60" s="532">
        <v>0</v>
      </c>
      <c r="O60" s="532">
        <v>0</v>
      </c>
      <c r="P60" s="532">
        <v>0</v>
      </c>
      <c r="Q60" s="163">
        <f t="shared" si="14"/>
        <v>2007000</v>
      </c>
    </row>
    <row r="61" spans="1:17" s="19" customFormat="1" ht="18" customHeight="1">
      <c r="A61" s="626" t="s">
        <v>113</v>
      </c>
      <c r="B61" s="629" t="s">
        <v>146</v>
      </c>
      <c r="C61" s="631" t="s">
        <v>147</v>
      </c>
      <c r="D61" s="633" t="s">
        <v>234</v>
      </c>
      <c r="E61" s="633"/>
      <c r="F61" s="633" t="s">
        <v>148</v>
      </c>
      <c r="G61" s="633"/>
      <c r="H61" s="633"/>
      <c r="I61" s="624" t="s">
        <v>149</v>
      </c>
      <c r="J61" s="617" t="s">
        <v>330</v>
      </c>
      <c r="K61" s="617"/>
      <c r="L61" s="617"/>
      <c r="M61" s="617"/>
      <c r="N61" s="617"/>
      <c r="O61" s="617"/>
      <c r="P61" s="617"/>
      <c r="Q61" s="618" t="s">
        <v>150</v>
      </c>
    </row>
    <row r="62" spans="1:17" s="19" customFormat="1" ht="14.25" customHeight="1">
      <c r="A62" s="626"/>
      <c r="B62" s="629"/>
      <c r="C62" s="631"/>
      <c r="D62" s="634"/>
      <c r="E62" s="634"/>
      <c r="F62" s="634"/>
      <c r="G62" s="634"/>
      <c r="H62" s="634"/>
      <c r="I62" s="624"/>
      <c r="J62" s="621">
        <v>2012</v>
      </c>
      <c r="K62" s="622"/>
      <c r="L62" s="622"/>
      <c r="M62" s="623">
        <v>2013</v>
      </c>
      <c r="N62" s="623">
        <v>2014</v>
      </c>
      <c r="O62" s="623">
        <v>2015</v>
      </c>
      <c r="P62" s="623">
        <v>2016</v>
      </c>
      <c r="Q62" s="618"/>
    </row>
    <row r="63" spans="1:17" s="19" customFormat="1" ht="4.5" customHeight="1">
      <c r="A63" s="627"/>
      <c r="B63" s="630"/>
      <c r="C63" s="632"/>
      <c r="D63" s="623" t="s">
        <v>151</v>
      </c>
      <c r="E63" s="623" t="s">
        <v>152</v>
      </c>
      <c r="F63" s="615" t="s">
        <v>153</v>
      </c>
      <c r="G63" s="615" t="s">
        <v>154</v>
      </c>
      <c r="H63" s="615" t="s">
        <v>155</v>
      </c>
      <c r="I63" s="635"/>
      <c r="J63" s="621"/>
      <c r="K63" s="622"/>
      <c r="L63" s="622"/>
      <c r="M63" s="624"/>
      <c r="N63" s="624"/>
      <c r="O63" s="624"/>
      <c r="P63" s="624"/>
      <c r="Q63" s="619"/>
    </row>
    <row r="64" spans="1:17" s="19" customFormat="1" ht="24.75" customHeight="1" thickBot="1">
      <c r="A64" s="628"/>
      <c r="B64" s="616"/>
      <c r="C64" s="616"/>
      <c r="D64" s="616"/>
      <c r="E64" s="616"/>
      <c r="F64" s="616"/>
      <c r="G64" s="616"/>
      <c r="H64" s="616"/>
      <c r="I64" s="616"/>
      <c r="J64" s="496" t="s">
        <v>327</v>
      </c>
      <c r="K64" s="496" t="s">
        <v>328</v>
      </c>
      <c r="L64" s="496" t="s">
        <v>329</v>
      </c>
      <c r="M64" s="625"/>
      <c r="N64" s="625"/>
      <c r="O64" s="625"/>
      <c r="P64" s="625"/>
      <c r="Q64" s="620"/>
    </row>
    <row r="65" spans="1:25" s="42" customFormat="1" ht="33.75" customHeight="1">
      <c r="A65" s="164" t="s">
        <v>117</v>
      </c>
      <c r="B65" s="165" t="s">
        <v>190</v>
      </c>
      <c r="C65" s="368"/>
      <c r="D65" s="368" t="s">
        <v>82</v>
      </c>
      <c r="E65" s="368" t="s">
        <v>82</v>
      </c>
      <c r="F65" s="368"/>
      <c r="G65" s="368"/>
      <c r="H65" s="368"/>
      <c r="I65" s="167">
        <f aca="true" t="shared" si="15" ref="I65:N65">I66</f>
        <v>21114706</v>
      </c>
      <c r="J65" s="167">
        <f t="shared" si="15"/>
        <v>8950662</v>
      </c>
      <c r="K65" s="167">
        <f t="shared" si="15"/>
        <v>-149825</v>
      </c>
      <c r="L65" s="167">
        <f t="shared" si="15"/>
        <v>8800837</v>
      </c>
      <c r="M65" s="167">
        <f t="shared" si="15"/>
        <v>8485200</v>
      </c>
      <c r="N65" s="484">
        <f t="shared" si="15"/>
        <v>1700000</v>
      </c>
      <c r="O65" s="369">
        <v>0</v>
      </c>
      <c r="P65" s="369">
        <v>0</v>
      </c>
      <c r="Q65" s="370">
        <f>SUM(L65:P65)</f>
        <v>18986037</v>
      </c>
      <c r="R65" s="19"/>
      <c r="S65" s="19"/>
      <c r="T65" s="19"/>
      <c r="U65" s="19"/>
      <c r="V65" s="19"/>
      <c r="W65" s="19"/>
      <c r="X65" s="19"/>
      <c r="Y65" s="19"/>
    </row>
    <row r="66" spans="1:18" s="45" customFormat="1" ht="15.75">
      <c r="A66" s="215"/>
      <c r="B66" s="216" t="s">
        <v>158</v>
      </c>
      <c r="C66" s="217"/>
      <c r="D66" s="217" t="s">
        <v>82</v>
      </c>
      <c r="E66" s="217" t="s">
        <v>82</v>
      </c>
      <c r="F66" s="217"/>
      <c r="G66" s="217"/>
      <c r="H66" s="217"/>
      <c r="I66" s="174">
        <f>I67</f>
        <v>21114706</v>
      </c>
      <c r="J66" s="174">
        <f aca="true" t="shared" si="16" ref="J66:Q66">J67</f>
        <v>8950662</v>
      </c>
      <c r="K66" s="174">
        <f t="shared" si="16"/>
        <v>-149825</v>
      </c>
      <c r="L66" s="174">
        <f t="shared" si="16"/>
        <v>8800837</v>
      </c>
      <c r="M66" s="174">
        <f t="shared" si="16"/>
        <v>8485200</v>
      </c>
      <c r="N66" s="174">
        <f t="shared" si="16"/>
        <v>1700000</v>
      </c>
      <c r="O66" s="174">
        <f t="shared" si="16"/>
        <v>0</v>
      </c>
      <c r="P66" s="174">
        <f t="shared" si="16"/>
        <v>0</v>
      </c>
      <c r="Q66" s="174">
        <f t="shared" si="16"/>
        <v>18986037</v>
      </c>
      <c r="R66" s="351"/>
    </row>
    <row r="67" spans="1:18" s="45" customFormat="1" ht="19.5" customHeight="1">
      <c r="A67" s="398" t="s">
        <v>191</v>
      </c>
      <c r="B67" s="399" t="s">
        <v>192</v>
      </c>
      <c r="C67" s="400" t="s">
        <v>164</v>
      </c>
      <c r="D67" s="382">
        <v>2009</v>
      </c>
      <c r="E67" s="382">
        <v>2014</v>
      </c>
      <c r="F67" s="391"/>
      <c r="G67" s="391"/>
      <c r="H67" s="391"/>
      <c r="I67" s="391">
        <f aca="true" t="shared" si="17" ref="I67:P67">SUM(I68:I83,I84:I86)</f>
        <v>21114706</v>
      </c>
      <c r="J67" s="391">
        <f t="shared" si="17"/>
        <v>8950662</v>
      </c>
      <c r="K67" s="391">
        <f t="shared" si="17"/>
        <v>-149825</v>
      </c>
      <c r="L67" s="391">
        <f t="shared" si="17"/>
        <v>8800837</v>
      </c>
      <c r="M67" s="391">
        <f t="shared" si="17"/>
        <v>8485200</v>
      </c>
      <c r="N67" s="391">
        <f t="shared" si="17"/>
        <v>1700000</v>
      </c>
      <c r="O67" s="391">
        <f t="shared" si="17"/>
        <v>0</v>
      </c>
      <c r="P67" s="391">
        <f t="shared" si="17"/>
        <v>0</v>
      </c>
      <c r="Q67" s="391">
        <f>SUM(Q68:Q83,Q84:Q86)</f>
        <v>18986037</v>
      </c>
      <c r="R67" s="351">
        <f>SUM(Q68:Q86)</f>
        <v>18986037</v>
      </c>
    </row>
    <row r="68" spans="1:18" s="45" customFormat="1" ht="42" customHeight="1">
      <c r="A68" s="473" t="s">
        <v>193</v>
      </c>
      <c r="B68" s="474" t="s">
        <v>344</v>
      </c>
      <c r="C68" s="383" t="s">
        <v>177</v>
      </c>
      <c r="D68" s="383">
        <v>2012</v>
      </c>
      <c r="E68" s="383">
        <v>2013</v>
      </c>
      <c r="F68" s="55">
        <v>600</v>
      </c>
      <c r="G68" s="55" t="s">
        <v>194</v>
      </c>
      <c r="H68" s="55">
        <v>6050</v>
      </c>
      <c r="I68" s="55">
        <v>85000</v>
      </c>
      <c r="J68" s="55">
        <v>0</v>
      </c>
      <c r="K68" s="55">
        <v>10000</v>
      </c>
      <c r="L68" s="55">
        <f>J68+K68</f>
        <v>10000</v>
      </c>
      <c r="M68" s="174">
        <v>75000</v>
      </c>
      <c r="N68" s="174"/>
      <c r="O68" s="174"/>
      <c r="P68" s="174"/>
      <c r="Q68" s="163">
        <f>SUM(L68:P68)</f>
        <v>85000</v>
      </c>
      <c r="R68" s="351">
        <f>L67+M67+N67+O67+P67</f>
        <v>18986037</v>
      </c>
    </row>
    <row r="69" spans="1:18" s="45" customFormat="1" ht="42" customHeight="1">
      <c r="A69" s="473" t="s">
        <v>195</v>
      </c>
      <c r="B69" s="474" t="s">
        <v>286</v>
      </c>
      <c r="C69" s="523" t="s">
        <v>177</v>
      </c>
      <c r="D69" s="523">
        <v>2011</v>
      </c>
      <c r="E69" s="523">
        <v>2012</v>
      </c>
      <c r="F69" s="55">
        <v>600</v>
      </c>
      <c r="G69" s="55" t="s">
        <v>194</v>
      </c>
      <c r="H69" s="55">
        <v>6050</v>
      </c>
      <c r="I69" s="55">
        <v>46018</v>
      </c>
      <c r="J69" s="55">
        <v>45018</v>
      </c>
      <c r="K69" s="55"/>
      <c r="L69" s="55">
        <f>J69+K69</f>
        <v>45018</v>
      </c>
      <c r="M69" s="174"/>
      <c r="N69" s="174"/>
      <c r="O69" s="174"/>
      <c r="P69" s="174"/>
      <c r="Q69" s="163">
        <f>SUM(L69:P69)</f>
        <v>45018</v>
      </c>
      <c r="R69" s="351"/>
    </row>
    <row r="70" spans="1:17" s="45" customFormat="1" ht="47.25" customHeight="1">
      <c r="A70" s="473" t="s">
        <v>196</v>
      </c>
      <c r="B70" s="475" t="s">
        <v>346</v>
      </c>
      <c r="C70" s="383" t="s">
        <v>177</v>
      </c>
      <c r="D70" s="383">
        <v>2009</v>
      </c>
      <c r="E70" s="383">
        <v>2013</v>
      </c>
      <c r="F70" s="55">
        <v>600</v>
      </c>
      <c r="G70" s="55" t="s">
        <v>194</v>
      </c>
      <c r="H70" s="55">
        <v>6050</v>
      </c>
      <c r="I70" s="55">
        <v>8541532</v>
      </c>
      <c r="J70" s="55">
        <v>3500000</v>
      </c>
      <c r="K70" s="55"/>
      <c r="L70" s="55">
        <f aca="true" t="shared" si="18" ref="L70:L86">J70+K70</f>
        <v>3500000</v>
      </c>
      <c r="M70" s="55">
        <v>4695200</v>
      </c>
      <c r="N70" s="174"/>
      <c r="O70" s="174"/>
      <c r="P70" s="174"/>
      <c r="Q70" s="163">
        <f aca="true" t="shared" si="19" ref="Q70:Q86">SUM(L70:P70)</f>
        <v>8195200</v>
      </c>
    </row>
    <row r="71" spans="1:17" s="45" customFormat="1" ht="48" customHeight="1">
      <c r="A71" s="473" t="s">
        <v>198</v>
      </c>
      <c r="B71" s="476" t="s">
        <v>367</v>
      </c>
      <c r="C71" s="383" t="s">
        <v>177</v>
      </c>
      <c r="D71" s="383">
        <v>2009</v>
      </c>
      <c r="E71" s="383">
        <v>2014</v>
      </c>
      <c r="F71" s="55">
        <v>600</v>
      </c>
      <c r="G71" s="55" t="s">
        <v>194</v>
      </c>
      <c r="H71" s="55">
        <v>6050</v>
      </c>
      <c r="I71" s="55">
        <v>1060269</v>
      </c>
      <c r="J71" s="55">
        <v>10000</v>
      </c>
      <c r="K71" s="55"/>
      <c r="L71" s="55">
        <f t="shared" si="18"/>
        <v>10000</v>
      </c>
      <c r="M71" s="174">
        <v>200000</v>
      </c>
      <c r="N71" s="174">
        <v>700000</v>
      </c>
      <c r="O71" s="174"/>
      <c r="P71" s="174"/>
      <c r="Q71" s="163">
        <f t="shared" si="19"/>
        <v>910000</v>
      </c>
    </row>
    <row r="72" spans="1:17" s="45" customFormat="1" ht="47.25" customHeight="1">
      <c r="A72" s="473" t="s">
        <v>260</v>
      </c>
      <c r="B72" s="377" t="s">
        <v>259</v>
      </c>
      <c r="C72" s="383" t="s">
        <v>177</v>
      </c>
      <c r="D72" s="383">
        <v>2009</v>
      </c>
      <c r="E72" s="383">
        <v>2012</v>
      </c>
      <c r="F72" s="55">
        <v>600</v>
      </c>
      <c r="G72" s="55" t="s">
        <v>194</v>
      </c>
      <c r="H72" s="55">
        <v>6050</v>
      </c>
      <c r="I72" s="55">
        <v>398315</v>
      </c>
      <c r="J72" s="55">
        <v>375000</v>
      </c>
      <c r="K72" s="55"/>
      <c r="L72" s="55">
        <f t="shared" si="18"/>
        <v>375000</v>
      </c>
      <c r="M72" s="55"/>
      <c r="N72" s="174"/>
      <c r="O72" s="174"/>
      <c r="P72" s="174"/>
      <c r="Q72" s="163">
        <f t="shared" si="19"/>
        <v>375000</v>
      </c>
    </row>
    <row r="73" spans="1:17" s="45" customFormat="1" ht="25.5" customHeight="1">
      <c r="A73" s="473" t="s">
        <v>251</v>
      </c>
      <c r="B73" s="378" t="s">
        <v>294</v>
      </c>
      <c r="C73" s="470" t="s">
        <v>177</v>
      </c>
      <c r="D73" s="470">
        <v>2012</v>
      </c>
      <c r="E73" s="470">
        <v>2013</v>
      </c>
      <c r="F73" s="55">
        <v>600</v>
      </c>
      <c r="G73" s="55">
        <v>60016</v>
      </c>
      <c r="H73" s="55">
        <v>6050</v>
      </c>
      <c r="I73" s="55">
        <v>110000</v>
      </c>
      <c r="J73" s="55">
        <v>10000</v>
      </c>
      <c r="K73" s="55"/>
      <c r="L73" s="55">
        <f t="shared" si="18"/>
        <v>10000</v>
      </c>
      <c r="M73" s="55">
        <v>100000</v>
      </c>
      <c r="N73" s="174"/>
      <c r="O73" s="174"/>
      <c r="P73" s="174"/>
      <c r="Q73" s="163">
        <f t="shared" si="19"/>
        <v>110000</v>
      </c>
    </row>
    <row r="74" spans="1:17" s="45" customFormat="1" ht="24.75" customHeight="1">
      <c r="A74" s="473" t="s">
        <v>252</v>
      </c>
      <c r="B74" s="477" t="s">
        <v>325</v>
      </c>
      <c r="C74" s="383" t="s">
        <v>177</v>
      </c>
      <c r="D74" s="383">
        <v>2011</v>
      </c>
      <c r="E74" s="383">
        <v>2012</v>
      </c>
      <c r="F74" s="55">
        <v>600</v>
      </c>
      <c r="G74" s="55">
        <v>60016</v>
      </c>
      <c r="H74" s="55">
        <v>6050</v>
      </c>
      <c r="I74" s="55">
        <v>65000</v>
      </c>
      <c r="J74" s="55">
        <v>60000</v>
      </c>
      <c r="K74" s="55"/>
      <c r="L74" s="55">
        <f t="shared" si="18"/>
        <v>60000</v>
      </c>
      <c r="M74" s="174"/>
      <c r="N74" s="174"/>
      <c r="O74" s="174"/>
      <c r="P74" s="174"/>
      <c r="Q74" s="163">
        <f t="shared" si="19"/>
        <v>60000</v>
      </c>
    </row>
    <row r="75" spans="1:17" s="45" customFormat="1" ht="25.5" customHeight="1">
      <c r="A75" s="473" t="s">
        <v>261</v>
      </c>
      <c r="B75" s="377" t="s">
        <v>322</v>
      </c>
      <c r="C75" s="383" t="s">
        <v>177</v>
      </c>
      <c r="D75" s="383">
        <v>2011</v>
      </c>
      <c r="E75" s="383">
        <v>2012</v>
      </c>
      <c r="F75" s="55">
        <v>600</v>
      </c>
      <c r="G75" s="55" t="s">
        <v>194</v>
      </c>
      <c r="H75" s="55">
        <v>6050</v>
      </c>
      <c r="I75" s="55">
        <v>463000</v>
      </c>
      <c r="J75" s="55">
        <v>387000</v>
      </c>
      <c r="K75" s="55"/>
      <c r="L75" s="55">
        <f t="shared" si="18"/>
        <v>387000</v>
      </c>
      <c r="M75" s="55"/>
      <c r="N75" s="174"/>
      <c r="O75" s="174"/>
      <c r="P75" s="174"/>
      <c r="Q75" s="163">
        <f t="shared" si="19"/>
        <v>387000</v>
      </c>
    </row>
    <row r="76" spans="1:17" s="45" customFormat="1" ht="25.5" customHeight="1">
      <c r="A76" s="473" t="s">
        <v>262</v>
      </c>
      <c r="B76" s="377" t="s">
        <v>306</v>
      </c>
      <c r="C76" s="470" t="s">
        <v>177</v>
      </c>
      <c r="D76" s="470">
        <v>2012</v>
      </c>
      <c r="E76" s="470">
        <v>2013</v>
      </c>
      <c r="F76" s="55">
        <v>600</v>
      </c>
      <c r="G76" s="55" t="s">
        <v>194</v>
      </c>
      <c r="H76" s="55">
        <v>6050</v>
      </c>
      <c r="I76" s="55">
        <v>905000</v>
      </c>
      <c r="J76" s="55">
        <v>300000</v>
      </c>
      <c r="K76" s="192"/>
      <c r="L76" s="55">
        <f t="shared" si="18"/>
        <v>300000</v>
      </c>
      <c r="M76" s="192">
        <v>605000</v>
      </c>
      <c r="N76" s="367"/>
      <c r="O76" s="367"/>
      <c r="P76" s="367"/>
      <c r="Q76" s="163">
        <f t="shared" si="19"/>
        <v>905000</v>
      </c>
    </row>
    <row r="77" spans="1:17" s="45" customFormat="1" ht="24.75" customHeight="1">
      <c r="A77" s="473" t="s">
        <v>263</v>
      </c>
      <c r="B77" s="377" t="s">
        <v>307</v>
      </c>
      <c r="C77" s="470" t="s">
        <v>177</v>
      </c>
      <c r="D77" s="470">
        <v>2012</v>
      </c>
      <c r="E77" s="470">
        <v>2013</v>
      </c>
      <c r="F77" s="55">
        <v>600</v>
      </c>
      <c r="G77" s="55" t="s">
        <v>194</v>
      </c>
      <c r="H77" s="55">
        <v>6050</v>
      </c>
      <c r="I77" s="55">
        <v>840000</v>
      </c>
      <c r="J77" s="55">
        <v>300000</v>
      </c>
      <c r="K77" s="192"/>
      <c r="L77" s="55">
        <f t="shared" si="18"/>
        <v>300000</v>
      </c>
      <c r="M77" s="192">
        <v>540000</v>
      </c>
      <c r="N77" s="367"/>
      <c r="O77" s="367"/>
      <c r="P77" s="367"/>
      <c r="Q77" s="163">
        <f t="shared" si="19"/>
        <v>840000</v>
      </c>
    </row>
    <row r="78" spans="1:17" s="45" customFormat="1" ht="25.5" customHeight="1">
      <c r="A78" s="473" t="s">
        <v>293</v>
      </c>
      <c r="B78" s="377" t="s">
        <v>308</v>
      </c>
      <c r="C78" s="470" t="s">
        <v>177</v>
      </c>
      <c r="D78" s="470">
        <v>2012</v>
      </c>
      <c r="E78" s="470">
        <v>2013</v>
      </c>
      <c r="F78" s="55">
        <v>600</v>
      </c>
      <c r="G78" s="55" t="s">
        <v>194</v>
      </c>
      <c r="H78" s="55">
        <v>6050</v>
      </c>
      <c r="I78" s="55">
        <v>2200000</v>
      </c>
      <c r="J78" s="55">
        <v>600000</v>
      </c>
      <c r="K78" s="192"/>
      <c r="L78" s="55">
        <f t="shared" si="18"/>
        <v>600000</v>
      </c>
      <c r="M78" s="192">
        <v>1600000</v>
      </c>
      <c r="N78" s="367"/>
      <c r="O78" s="367"/>
      <c r="P78" s="367"/>
      <c r="Q78" s="163">
        <f t="shared" si="19"/>
        <v>2200000</v>
      </c>
    </row>
    <row r="79" spans="1:17" s="45" customFormat="1" ht="25.5" customHeight="1">
      <c r="A79" s="473" t="s">
        <v>295</v>
      </c>
      <c r="B79" s="377" t="s">
        <v>314</v>
      </c>
      <c r="C79" s="470" t="s">
        <v>177</v>
      </c>
      <c r="D79" s="470">
        <v>2012</v>
      </c>
      <c r="E79" s="470">
        <v>2014</v>
      </c>
      <c r="F79" s="55">
        <v>600</v>
      </c>
      <c r="G79" s="55" t="s">
        <v>194</v>
      </c>
      <c r="H79" s="55">
        <v>6050</v>
      </c>
      <c r="I79" s="55">
        <v>1765000</v>
      </c>
      <c r="J79" s="55">
        <v>165000</v>
      </c>
      <c r="K79" s="192"/>
      <c r="L79" s="55">
        <f t="shared" si="18"/>
        <v>165000</v>
      </c>
      <c r="M79" s="192">
        <v>600000</v>
      </c>
      <c r="N79" s="367">
        <v>1000000</v>
      </c>
      <c r="O79" s="367"/>
      <c r="P79" s="367"/>
      <c r="Q79" s="163">
        <f t="shared" si="19"/>
        <v>1765000</v>
      </c>
    </row>
    <row r="80" spans="1:17" s="45" customFormat="1" ht="41.25" customHeight="1">
      <c r="A80" s="473" t="s">
        <v>296</v>
      </c>
      <c r="B80" s="377" t="s">
        <v>289</v>
      </c>
      <c r="C80" s="468" t="s">
        <v>177</v>
      </c>
      <c r="D80" s="468">
        <v>2011</v>
      </c>
      <c r="E80" s="468">
        <v>2012</v>
      </c>
      <c r="F80" s="55">
        <v>600</v>
      </c>
      <c r="G80" s="55">
        <v>60016</v>
      </c>
      <c r="H80" s="55">
        <v>6050</v>
      </c>
      <c r="I80" s="55">
        <v>2283971</v>
      </c>
      <c r="J80" s="192">
        <v>1213900</v>
      </c>
      <c r="K80" s="192"/>
      <c r="L80" s="55">
        <f t="shared" si="18"/>
        <v>1213900</v>
      </c>
      <c r="M80" s="192"/>
      <c r="N80" s="367"/>
      <c r="O80" s="367"/>
      <c r="P80" s="367"/>
      <c r="Q80" s="163">
        <f t="shared" si="19"/>
        <v>1213900</v>
      </c>
    </row>
    <row r="81" spans="1:17" s="45" customFormat="1" ht="31.5" customHeight="1">
      <c r="A81" s="473" t="s">
        <v>297</v>
      </c>
      <c r="B81" s="495" t="s">
        <v>347</v>
      </c>
      <c r="C81" s="494" t="s">
        <v>177</v>
      </c>
      <c r="D81" s="494">
        <v>2011</v>
      </c>
      <c r="E81" s="494">
        <v>2012</v>
      </c>
      <c r="F81" s="55">
        <v>600</v>
      </c>
      <c r="G81" s="55">
        <v>60016</v>
      </c>
      <c r="H81" s="55">
        <v>6050</v>
      </c>
      <c r="I81" s="55">
        <v>66000</v>
      </c>
      <c r="J81" s="192">
        <v>65000</v>
      </c>
      <c r="K81" s="192"/>
      <c r="L81" s="55">
        <f t="shared" si="18"/>
        <v>65000</v>
      </c>
      <c r="M81" s="192"/>
      <c r="N81" s="367"/>
      <c r="O81" s="367"/>
      <c r="P81" s="367"/>
      <c r="Q81" s="163">
        <f t="shared" si="19"/>
        <v>65000</v>
      </c>
    </row>
    <row r="82" spans="1:17" s="45" customFormat="1" ht="31.5" customHeight="1">
      <c r="A82" s="473" t="s">
        <v>298</v>
      </c>
      <c r="B82" s="495" t="s">
        <v>345</v>
      </c>
      <c r="C82" s="526" t="s">
        <v>177</v>
      </c>
      <c r="D82" s="526">
        <v>2012</v>
      </c>
      <c r="E82" s="526">
        <v>2013</v>
      </c>
      <c r="F82" s="55">
        <v>600</v>
      </c>
      <c r="G82" s="55">
        <v>60016</v>
      </c>
      <c r="H82" s="55">
        <v>6050</v>
      </c>
      <c r="I82" s="55">
        <v>71000</v>
      </c>
      <c r="J82" s="192"/>
      <c r="K82" s="192">
        <v>1000</v>
      </c>
      <c r="L82" s="55">
        <f>J82+K82</f>
        <v>1000</v>
      </c>
      <c r="M82" s="192">
        <v>70000</v>
      </c>
      <c r="N82" s="367"/>
      <c r="O82" s="367"/>
      <c r="P82" s="367"/>
      <c r="Q82" s="163">
        <f>SUM(L82:P82)</f>
        <v>71000</v>
      </c>
    </row>
    <row r="83" spans="1:17" s="45" customFormat="1" ht="25.5" customHeight="1">
      <c r="A83" s="473" t="s">
        <v>299</v>
      </c>
      <c r="B83" s="475" t="s">
        <v>273</v>
      </c>
      <c r="C83" s="470" t="s">
        <v>177</v>
      </c>
      <c r="D83" s="470">
        <v>2011</v>
      </c>
      <c r="E83" s="470">
        <v>2012</v>
      </c>
      <c r="F83" s="55">
        <v>600</v>
      </c>
      <c r="G83" s="55" t="s">
        <v>194</v>
      </c>
      <c r="H83" s="55">
        <v>6050</v>
      </c>
      <c r="I83" s="55">
        <v>927905</v>
      </c>
      <c r="J83" s="55">
        <v>701530</v>
      </c>
      <c r="K83" s="55"/>
      <c r="L83" s="55">
        <f t="shared" si="18"/>
        <v>701530</v>
      </c>
      <c r="M83" s="55"/>
      <c r="N83" s="55"/>
      <c r="O83" s="55"/>
      <c r="P83" s="55"/>
      <c r="Q83" s="163">
        <f t="shared" si="19"/>
        <v>701530</v>
      </c>
    </row>
    <row r="84" spans="1:17" s="45" customFormat="1" ht="42.75" customHeight="1">
      <c r="A84" s="473" t="s">
        <v>324</v>
      </c>
      <c r="B84" s="478" t="s">
        <v>287</v>
      </c>
      <c r="C84" s="470" t="s">
        <v>177</v>
      </c>
      <c r="D84" s="470">
        <v>2011</v>
      </c>
      <c r="E84" s="470">
        <v>2012</v>
      </c>
      <c r="F84" s="55">
        <v>600</v>
      </c>
      <c r="G84" s="55" t="s">
        <v>194</v>
      </c>
      <c r="H84" s="55">
        <v>6050</v>
      </c>
      <c r="I84" s="55">
        <v>101000</v>
      </c>
      <c r="J84" s="55">
        <v>100000</v>
      </c>
      <c r="K84" s="55"/>
      <c r="L84" s="55">
        <f t="shared" si="18"/>
        <v>100000</v>
      </c>
      <c r="M84" s="55"/>
      <c r="N84" s="174"/>
      <c r="O84" s="174"/>
      <c r="P84" s="174"/>
      <c r="Q84" s="163">
        <f t="shared" si="19"/>
        <v>100000</v>
      </c>
    </row>
    <row r="85" spans="1:17" s="45" customFormat="1" ht="48" customHeight="1">
      <c r="A85" s="473" t="s">
        <v>348</v>
      </c>
      <c r="B85" s="377" t="s">
        <v>275</v>
      </c>
      <c r="C85" s="414" t="s">
        <v>177</v>
      </c>
      <c r="D85" s="414">
        <v>2011</v>
      </c>
      <c r="E85" s="414">
        <v>2012</v>
      </c>
      <c r="F85" s="55">
        <v>600</v>
      </c>
      <c r="G85" s="55" t="s">
        <v>194</v>
      </c>
      <c r="H85" s="55">
        <v>6050</v>
      </c>
      <c r="I85" s="55">
        <v>1087171</v>
      </c>
      <c r="J85" s="55">
        <v>868214</v>
      </c>
      <c r="K85" s="55"/>
      <c r="L85" s="55">
        <f t="shared" si="18"/>
        <v>868214</v>
      </c>
      <c r="M85" s="174"/>
      <c r="N85" s="174"/>
      <c r="O85" s="174"/>
      <c r="P85" s="174"/>
      <c r="Q85" s="163">
        <f t="shared" si="19"/>
        <v>868214</v>
      </c>
    </row>
    <row r="86" spans="1:17" s="45" customFormat="1" ht="28.5" customHeight="1" thickBot="1">
      <c r="A86" s="473" t="s">
        <v>349</v>
      </c>
      <c r="B86" s="477" t="s">
        <v>270</v>
      </c>
      <c r="C86" s="172" t="s">
        <v>177</v>
      </c>
      <c r="D86" s="172">
        <v>2011</v>
      </c>
      <c r="E86" s="172">
        <v>2012</v>
      </c>
      <c r="F86" s="192">
        <v>600</v>
      </c>
      <c r="G86" s="192" t="s">
        <v>194</v>
      </c>
      <c r="H86" s="192">
        <v>6050</v>
      </c>
      <c r="I86" s="192">
        <v>98525</v>
      </c>
      <c r="J86" s="192">
        <v>250000</v>
      </c>
      <c r="K86" s="192">
        <v>-160825</v>
      </c>
      <c r="L86" s="55">
        <f t="shared" si="18"/>
        <v>89175</v>
      </c>
      <c r="M86" s="192"/>
      <c r="N86" s="192"/>
      <c r="O86" s="192"/>
      <c r="P86" s="192"/>
      <c r="Q86" s="163">
        <f t="shared" si="19"/>
        <v>89175</v>
      </c>
    </row>
    <row r="87" spans="1:17" s="45" customFormat="1" ht="12.75">
      <c r="A87" s="402"/>
      <c r="B87" s="403"/>
      <c r="C87" s="404"/>
      <c r="D87" s="404"/>
      <c r="E87" s="404"/>
      <c r="F87" s="405"/>
      <c r="G87" s="405"/>
      <c r="H87" s="405"/>
      <c r="I87" s="405"/>
      <c r="J87" s="405"/>
      <c r="K87" s="405"/>
      <c r="L87" s="405"/>
      <c r="M87" s="405"/>
      <c r="N87" s="405"/>
      <c r="O87" s="405"/>
      <c r="P87" s="405"/>
      <c r="Q87" s="406"/>
    </row>
    <row r="88" spans="1:17" s="45" customFormat="1" ht="17.25" customHeight="1">
      <c r="A88" s="407"/>
      <c r="B88" s="408"/>
      <c r="C88" s="409"/>
      <c r="D88" s="409"/>
      <c r="E88" s="409"/>
      <c r="F88" s="410"/>
      <c r="G88" s="410"/>
      <c r="H88" s="410"/>
      <c r="I88" s="410"/>
      <c r="J88" s="410"/>
      <c r="K88" s="410"/>
      <c r="L88" s="410"/>
      <c r="M88" s="410"/>
      <c r="N88" s="410"/>
      <c r="O88" s="410"/>
      <c r="P88" s="410"/>
      <c r="Q88" s="411"/>
    </row>
    <row r="89" spans="1:17" s="45" customFormat="1" ht="12.75">
      <c r="A89" s="407"/>
      <c r="B89" s="408"/>
      <c r="C89" s="409"/>
      <c r="D89" s="409"/>
      <c r="E89" s="409"/>
      <c r="F89" s="410"/>
      <c r="G89" s="410"/>
      <c r="H89" s="410"/>
      <c r="I89" s="410"/>
      <c r="J89" s="410"/>
      <c r="K89" s="410"/>
      <c r="L89" s="410"/>
      <c r="M89" s="410"/>
      <c r="N89" s="410"/>
      <c r="O89" s="410"/>
      <c r="P89" s="410"/>
      <c r="Q89" s="411"/>
    </row>
    <row r="90" spans="1:17" s="45" customFormat="1" ht="13.5" customHeight="1">
      <c r="A90" s="652" t="s">
        <v>113</v>
      </c>
      <c r="B90" s="653" t="s">
        <v>146</v>
      </c>
      <c r="C90" s="655" t="s">
        <v>147</v>
      </c>
      <c r="D90" s="654" t="s">
        <v>234</v>
      </c>
      <c r="E90" s="654"/>
      <c r="F90" s="654" t="s">
        <v>148</v>
      </c>
      <c r="G90" s="654"/>
      <c r="H90" s="654"/>
      <c r="I90" s="623" t="s">
        <v>149</v>
      </c>
      <c r="J90" s="651" t="s">
        <v>330</v>
      </c>
      <c r="K90" s="651"/>
      <c r="L90" s="651"/>
      <c r="M90" s="651"/>
      <c r="N90" s="651"/>
      <c r="O90" s="651"/>
      <c r="P90" s="651"/>
      <c r="Q90" s="656" t="s">
        <v>150</v>
      </c>
    </row>
    <row r="91" spans="1:17" s="45" customFormat="1" ht="12.75" customHeight="1">
      <c r="A91" s="626"/>
      <c r="B91" s="629"/>
      <c r="C91" s="631"/>
      <c r="D91" s="634"/>
      <c r="E91" s="634"/>
      <c r="F91" s="634"/>
      <c r="G91" s="634"/>
      <c r="H91" s="634"/>
      <c r="I91" s="624"/>
      <c r="J91" s="621">
        <v>2012</v>
      </c>
      <c r="K91" s="622"/>
      <c r="L91" s="622"/>
      <c r="M91" s="623">
        <v>2013</v>
      </c>
      <c r="N91" s="623">
        <v>2014</v>
      </c>
      <c r="O91" s="623">
        <v>2015</v>
      </c>
      <c r="P91" s="623">
        <v>2016</v>
      </c>
      <c r="Q91" s="618"/>
    </row>
    <row r="92" spans="1:17" s="45" customFormat="1" ht="12.75">
      <c r="A92" s="627"/>
      <c r="B92" s="630"/>
      <c r="C92" s="632"/>
      <c r="D92" s="623" t="s">
        <v>151</v>
      </c>
      <c r="E92" s="623" t="s">
        <v>152</v>
      </c>
      <c r="F92" s="615" t="s">
        <v>153</v>
      </c>
      <c r="G92" s="615" t="s">
        <v>154</v>
      </c>
      <c r="H92" s="615" t="s">
        <v>155</v>
      </c>
      <c r="I92" s="635"/>
      <c r="J92" s="621"/>
      <c r="K92" s="622"/>
      <c r="L92" s="622"/>
      <c r="M92" s="624"/>
      <c r="N92" s="624"/>
      <c r="O92" s="624"/>
      <c r="P92" s="624"/>
      <c r="Q92" s="619"/>
    </row>
    <row r="93" spans="1:17" s="45" customFormat="1" ht="24" customHeight="1" thickBot="1">
      <c r="A93" s="628"/>
      <c r="B93" s="616"/>
      <c r="C93" s="616"/>
      <c r="D93" s="616"/>
      <c r="E93" s="616"/>
      <c r="F93" s="616"/>
      <c r="G93" s="616"/>
      <c r="H93" s="616"/>
      <c r="I93" s="616"/>
      <c r="J93" s="496" t="s">
        <v>327</v>
      </c>
      <c r="K93" s="496" t="s">
        <v>328</v>
      </c>
      <c r="L93" s="496" t="s">
        <v>329</v>
      </c>
      <c r="M93" s="625"/>
      <c r="N93" s="625"/>
      <c r="O93" s="625"/>
      <c r="P93" s="625"/>
      <c r="Q93" s="620"/>
    </row>
    <row r="94" spans="1:17" ht="71.25" customHeight="1">
      <c r="A94" s="347" t="s">
        <v>201</v>
      </c>
      <c r="B94" s="363" t="s">
        <v>202</v>
      </c>
      <c r="C94" s="348"/>
      <c r="D94" s="349" t="s">
        <v>82</v>
      </c>
      <c r="E94" s="348" t="s">
        <v>82</v>
      </c>
      <c r="F94" s="348"/>
      <c r="G94" s="348"/>
      <c r="H94" s="348"/>
      <c r="I94" s="346">
        <f aca="true" t="shared" si="20" ref="I94:P94">I95</f>
        <v>27565877</v>
      </c>
      <c r="J94" s="346">
        <f t="shared" si="20"/>
        <v>10486215</v>
      </c>
      <c r="K94" s="346">
        <f t="shared" si="20"/>
        <v>0</v>
      </c>
      <c r="L94" s="346">
        <f t="shared" si="20"/>
        <v>10486215</v>
      </c>
      <c r="M94" s="346">
        <f t="shared" si="20"/>
        <v>4989983</v>
      </c>
      <c r="N94" s="346">
        <f t="shared" si="20"/>
        <v>4502599</v>
      </c>
      <c r="O94" s="346">
        <f t="shared" si="20"/>
        <v>2421310</v>
      </c>
      <c r="P94" s="346">
        <f t="shared" si="20"/>
        <v>2298490</v>
      </c>
      <c r="Q94" s="352">
        <f>SUM(L94:P94)</f>
        <v>24698597</v>
      </c>
    </row>
    <row r="95" spans="1:18" s="37" customFormat="1" ht="29.25" customHeight="1">
      <c r="A95" s="160"/>
      <c r="B95" s="379" t="s">
        <v>157</v>
      </c>
      <c r="C95" s="413"/>
      <c r="D95" s="412" t="s">
        <v>82</v>
      </c>
      <c r="E95" s="219" t="s">
        <v>82</v>
      </c>
      <c r="F95" s="219"/>
      <c r="G95" s="219"/>
      <c r="H95" s="219"/>
      <c r="I95" s="431">
        <f>SUM(I96:I137)</f>
        <v>27565877</v>
      </c>
      <c r="J95" s="431">
        <f>SUM(J96:J137)</f>
        <v>10486215</v>
      </c>
      <c r="K95" s="431">
        <f aca="true" t="shared" si="21" ref="K95:P95">SUM(K96:K137)</f>
        <v>0</v>
      </c>
      <c r="L95" s="431">
        <f t="shared" si="21"/>
        <v>10486215</v>
      </c>
      <c r="M95" s="431">
        <f t="shared" si="21"/>
        <v>4989983</v>
      </c>
      <c r="N95" s="431">
        <f t="shared" si="21"/>
        <v>4502599</v>
      </c>
      <c r="O95" s="431">
        <f t="shared" si="21"/>
        <v>2421310</v>
      </c>
      <c r="P95" s="431">
        <f t="shared" si="21"/>
        <v>2298490</v>
      </c>
      <c r="Q95" s="431">
        <f>SUM(Q96:Q137)</f>
        <v>24698597</v>
      </c>
      <c r="R95" s="350">
        <f>SUM(L95:P95)</f>
        <v>24698597</v>
      </c>
    </row>
    <row r="96" spans="1:18" ht="27" customHeight="1">
      <c r="A96" s="136" t="s">
        <v>160</v>
      </c>
      <c r="B96" s="381" t="s">
        <v>334</v>
      </c>
      <c r="C96" s="414" t="s">
        <v>177</v>
      </c>
      <c r="D96" s="412">
        <v>2012</v>
      </c>
      <c r="E96" s="412">
        <v>2016</v>
      </c>
      <c r="F96" s="412">
        <v>600</v>
      </c>
      <c r="G96" s="412">
        <v>60004</v>
      </c>
      <c r="H96" s="412">
        <v>4300</v>
      </c>
      <c r="I96" s="50">
        <v>3000000</v>
      </c>
      <c r="J96" s="50">
        <v>600000</v>
      </c>
      <c r="K96" s="50"/>
      <c r="L96" s="50">
        <f>J96+K96</f>
        <v>600000</v>
      </c>
      <c r="M96" s="50">
        <v>600000</v>
      </c>
      <c r="N96" s="50">
        <v>600000</v>
      </c>
      <c r="O96" s="50">
        <v>600000</v>
      </c>
      <c r="P96" s="50">
        <v>600000</v>
      </c>
      <c r="Q96" s="163">
        <f>SUM(L96:P96)</f>
        <v>3000000</v>
      </c>
      <c r="R96" s="14">
        <f>Q95-R95</f>
        <v>0</v>
      </c>
    </row>
    <row r="97" spans="1:17" ht="25.5" customHeight="1">
      <c r="A97" s="136" t="s">
        <v>117</v>
      </c>
      <c r="B97" s="381" t="s">
        <v>335</v>
      </c>
      <c r="C97" s="414" t="s">
        <v>177</v>
      </c>
      <c r="D97" s="412">
        <v>2012</v>
      </c>
      <c r="E97" s="412">
        <v>2016</v>
      </c>
      <c r="F97" s="412">
        <v>600</v>
      </c>
      <c r="G97" s="412">
        <v>60004</v>
      </c>
      <c r="H97" s="412">
        <v>4300</v>
      </c>
      <c r="I97" s="50">
        <f>Q97</f>
        <v>5850000</v>
      </c>
      <c r="J97" s="50">
        <v>1170000</v>
      </c>
      <c r="K97" s="50"/>
      <c r="L97" s="50">
        <f>J97+K97</f>
        <v>1170000</v>
      </c>
      <c r="M97" s="50">
        <v>1170000</v>
      </c>
      <c r="N97" s="50">
        <v>1170000</v>
      </c>
      <c r="O97" s="50">
        <v>1170000</v>
      </c>
      <c r="P97" s="50">
        <v>1170000</v>
      </c>
      <c r="Q97" s="163">
        <f aca="true" t="shared" si="22" ref="Q97:Q136">SUM(L97:P97)</f>
        <v>5850000</v>
      </c>
    </row>
    <row r="98" spans="1:17" ht="25.5" customHeight="1">
      <c r="A98" s="136" t="s">
        <v>119</v>
      </c>
      <c r="B98" s="381" t="s">
        <v>264</v>
      </c>
      <c r="C98" s="515" t="s">
        <v>177</v>
      </c>
      <c r="D98" s="514">
        <v>2011</v>
      </c>
      <c r="E98" s="514">
        <v>2012</v>
      </c>
      <c r="F98" s="514">
        <v>600</v>
      </c>
      <c r="G98" s="514">
        <v>60016</v>
      </c>
      <c r="H98" s="514">
        <v>4270</v>
      </c>
      <c r="I98" s="50">
        <v>3200000</v>
      </c>
      <c r="J98" s="50">
        <v>3000000</v>
      </c>
      <c r="K98" s="50"/>
      <c r="L98" s="50">
        <f>J98+K98</f>
        <v>3000000</v>
      </c>
      <c r="M98" s="50">
        <v>0</v>
      </c>
      <c r="N98" s="50">
        <v>0</v>
      </c>
      <c r="O98" s="50">
        <v>0</v>
      </c>
      <c r="P98" s="50">
        <v>0</v>
      </c>
      <c r="Q98" s="163">
        <f>SUM(L98:P98)</f>
        <v>3000000</v>
      </c>
    </row>
    <row r="99" spans="1:17" ht="25.5" customHeight="1">
      <c r="A99" s="136" t="s">
        <v>121</v>
      </c>
      <c r="B99" s="381" t="s">
        <v>272</v>
      </c>
      <c r="C99" s="515" t="s">
        <v>177</v>
      </c>
      <c r="D99" s="514">
        <v>2011</v>
      </c>
      <c r="E99" s="514">
        <v>2012</v>
      </c>
      <c r="F99" s="514">
        <v>600</v>
      </c>
      <c r="G99" s="514">
        <v>60016</v>
      </c>
      <c r="H99" s="514">
        <v>4300</v>
      </c>
      <c r="I99" s="50">
        <v>600000</v>
      </c>
      <c r="J99" s="50">
        <v>500000</v>
      </c>
      <c r="K99" s="50"/>
      <c r="L99" s="50">
        <f>J99+K99</f>
        <v>500000</v>
      </c>
      <c r="M99" s="50">
        <v>0</v>
      </c>
      <c r="N99" s="50">
        <v>0</v>
      </c>
      <c r="O99" s="50">
        <v>0</v>
      </c>
      <c r="P99" s="50">
        <v>0</v>
      </c>
      <c r="Q99" s="163">
        <f>SUM(L99:P99)</f>
        <v>500000</v>
      </c>
    </row>
    <row r="100" spans="1:17" ht="54.75" customHeight="1">
      <c r="A100" s="136" t="s">
        <v>123</v>
      </c>
      <c r="B100" s="381" t="s">
        <v>243</v>
      </c>
      <c r="C100" s="220" t="s">
        <v>167</v>
      </c>
      <c r="D100" s="486">
        <v>2011</v>
      </c>
      <c r="E100" s="486">
        <v>2012</v>
      </c>
      <c r="F100" s="486">
        <v>600</v>
      </c>
      <c r="G100" s="486">
        <v>60016</v>
      </c>
      <c r="H100" s="486">
        <v>4300</v>
      </c>
      <c r="I100" s="50">
        <v>40626</v>
      </c>
      <c r="J100" s="50">
        <v>20313</v>
      </c>
      <c r="K100" s="50"/>
      <c r="L100" s="50">
        <f aca="true" t="shared" si="23" ref="L100:L136">J100+K100</f>
        <v>20313</v>
      </c>
      <c r="M100" s="50">
        <v>0</v>
      </c>
      <c r="N100" s="50">
        <v>0</v>
      </c>
      <c r="O100" s="50">
        <v>0</v>
      </c>
      <c r="P100" s="50">
        <v>0</v>
      </c>
      <c r="Q100" s="163">
        <f t="shared" si="22"/>
        <v>20313</v>
      </c>
    </row>
    <row r="101" spans="1:17" ht="42" customHeight="1">
      <c r="A101" s="136" t="s">
        <v>125</v>
      </c>
      <c r="B101" s="381" t="s">
        <v>333</v>
      </c>
      <c r="C101" s="220" t="s">
        <v>167</v>
      </c>
      <c r="D101" s="510">
        <v>2012</v>
      </c>
      <c r="E101" s="510">
        <v>2016</v>
      </c>
      <c r="F101" s="510">
        <v>600</v>
      </c>
      <c r="G101" s="510">
        <v>60016</v>
      </c>
      <c r="H101" s="510">
        <v>4400</v>
      </c>
      <c r="I101" s="50">
        <f>Q101</f>
        <v>10753</v>
      </c>
      <c r="J101" s="50">
        <v>1833</v>
      </c>
      <c r="K101" s="50"/>
      <c r="L101" s="50">
        <f>J101+K101</f>
        <v>1833</v>
      </c>
      <c r="M101" s="50">
        <v>1980</v>
      </c>
      <c r="N101" s="50">
        <v>2140</v>
      </c>
      <c r="O101" s="50">
        <v>2310</v>
      </c>
      <c r="P101" s="50">
        <v>2490</v>
      </c>
      <c r="Q101" s="163">
        <f>SUM(L101:P101)</f>
        <v>10753</v>
      </c>
    </row>
    <row r="102" spans="1:17" ht="26.25" customHeight="1">
      <c r="A102" s="136" t="s">
        <v>127</v>
      </c>
      <c r="B102" s="381" t="s">
        <v>336</v>
      </c>
      <c r="C102" s="517" t="s">
        <v>177</v>
      </c>
      <c r="D102" s="516">
        <v>2012</v>
      </c>
      <c r="E102" s="516">
        <v>2013</v>
      </c>
      <c r="F102" s="516">
        <v>700</v>
      </c>
      <c r="G102" s="516">
        <v>70005</v>
      </c>
      <c r="H102" s="516">
        <v>4300</v>
      </c>
      <c r="I102" s="50">
        <f>Q102</f>
        <v>2583</v>
      </c>
      <c r="J102" s="50">
        <v>1476</v>
      </c>
      <c r="K102" s="50"/>
      <c r="L102" s="50">
        <f>J102+K102</f>
        <v>1476</v>
      </c>
      <c r="M102" s="50">
        <v>1107</v>
      </c>
      <c r="N102" s="50">
        <v>0</v>
      </c>
      <c r="O102" s="50">
        <v>0</v>
      </c>
      <c r="P102" s="50">
        <v>0</v>
      </c>
      <c r="Q102" s="163">
        <f>SUM(L102:P102)</f>
        <v>2583</v>
      </c>
    </row>
    <row r="103" spans="1:17" ht="41.25" customHeight="1">
      <c r="A103" s="136" t="s">
        <v>129</v>
      </c>
      <c r="B103" s="381" t="s">
        <v>203</v>
      </c>
      <c r="C103" s="414" t="s">
        <v>177</v>
      </c>
      <c r="D103" s="412">
        <v>2011</v>
      </c>
      <c r="E103" s="412">
        <v>2012</v>
      </c>
      <c r="F103" s="412">
        <v>700</v>
      </c>
      <c r="G103" s="412">
        <v>70005</v>
      </c>
      <c r="H103" s="412">
        <v>4400</v>
      </c>
      <c r="I103" s="50">
        <v>44344</v>
      </c>
      <c r="J103" s="50">
        <v>22172</v>
      </c>
      <c r="K103" s="50"/>
      <c r="L103" s="50">
        <f t="shared" si="23"/>
        <v>22172</v>
      </c>
      <c r="M103" s="50">
        <v>0</v>
      </c>
      <c r="N103" s="50">
        <v>0</v>
      </c>
      <c r="O103" s="50">
        <v>0</v>
      </c>
      <c r="P103" s="50">
        <v>0</v>
      </c>
      <c r="Q103" s="163">
        <f t="shared" si="22"/>
        <v>22172</v>
      </c>
    </row>
    <row r="104" spans="1:17" ht="40.5" customHeight="1">
      <c r="A104" s="136" t="s">
        <v>131</v>
      </c>
      <c r="B104" s="381" t="s">
        <v>242</v>
      </c>
      <c r="C104" s="414" t="s">
        <v>177</v>
      </c>
      <c r="D104" s="412">
        <v>2011</v>
      </c>
      <c r="E104" s="412">
        <v>2012</v>
      </c>
      <c r="F104" s="412">
        <v>700</v>
      </c>
      <c r="G104" s="412">
        <v>70005</v>
      </c>
      <c r="H104" s="412">
        <v>4300</v>
      </c>
      <c r="I104" s="50">
        <v>28306</v>
      </c>
      <c r="J104" s="50">
        <v>14153</v>
      </c>
      <c r="K104" s="50"/>
      <c r="L104" s="50">
        <f t="shared" si="23"/>
        <v>14153</v>
      </c>
      <c r="M104" s="50">
        <v>0</v>
      </c>
      <c r="N104" s="50">
        <v>0</v>
      </c>
      <c r="O104" s="50">
        <v>0</v>
      </c>
      <c r="P104" s="50">
        <v>0</v>
      </c>
      <c r="Q104" s="163">
        <f t="shared" si="22"/>
        <v>14153</v>
      </c>
    </row>
    <row r="105" spans="1:17" ht="51.75" customHeight="1">
      <c r="A105" s="136" t="s">
        <v>134</v>
      </c>
      <c r="B105" s="381" t="s">
        <v>244</v>
      </c>
      <c r="C105" s="414" t="s">
        <v>207</v>
      </c>
      <c r="D105" s="412">
        <v>2011</v>
      </c>
      <c r="E105" s="412">
        <v>2013</v>
      </c>
      <c r="F105" s="412">
        <v>700</v>
      </c>
      <c r="G105" s="412">
        <v>70005</v>
      </c>
      <c r="H105" s="412">
        <v>4400</v>
      </c>
      <c r="I105" s="50">
        <v>252000</v>
      </c>
      <c r="J105" s="50">
        <v>108000</v>
      </c>
      <c r="K105" s="50"/>
      <c r="L105" s="50">
        <f t="shared" si="23"/>
        <v>108000</v>
      </c>
      <c r="M105" s="50">
        <v>36000</v>
      </c>
      <c r="N105" s="50">
        <v>0</v>
      </c>
      <c r="O105" s="50">
        <v>0</v>
      </c>
      <c r="P105" s="50">
        <v>0</v>
      </c>
      <c r="Q105" s="163">
        <f t="shared" si="22"/>
        <v>144000</v>
      </c>
    </row>
    <row r="106" spans="1:17" ht="39" customHeight="1">
      <c r="A106" s="136" t="s">
        <v>138</v>
      </c>
      <c r="B106" s="381" t="s">
        <v>208</v>
      </c>
      <c r="C106" s="414" t="s">
        <v>207</v>
      </c>
      <c r="D106" s="412">
        <v>2011</v>
      </c>
      <c r="E106" s="412">
        <v>2013</v>
      </c>
      <c r="F106" s="412">
        <v>700</v>
      </c>
      <c r="G106" s="412">
        <v>70005</v>
      </c>
      <c r="H106" s="412">
        <v>4400</v>
      </c>
      <c r="I106" s="50">
        <v>9000</v>
      </c>
      <c r="J106" s="50">
        <v>3600</v>
      </c>
      <c r="K106" s="50"/>
      <c r="L106" s="50">
        <f t="shared" si="23"/>
        <v>3600</v>
      </c>
      <c r="M106" s="412">
        <v>1800</v>
      </c>
      <c r="N106" s="50">
        <v>0</v>
      </c>
      <c r="O106" s="50">
        <v>0</v>
      </c>
      <c r="P106" s="50">
        <v>0</v>
      </c>
      <c r="Q106" s="163">
        <f t="shared" si="22"/>
        <v>5400</v>
      </c>
    </row>
    <row r="107" spans="1:17" ht="38.25" customHeight="1">
      <c r="A107" s="136" t="s">
        <v>140</v>
      </c>
      <c r="B107" s="381" t="s">
        <v>332</v>
      </c>
      <c r="C107" s="414" t="s">
        <v>207</v>
      </c>
      <c r="D107" s="412">
        <v>2012</v>
      </c>
      <c r="E107" s="412">
        <v>2016</v>
      </c>
      <c r="F107" s="412">
        <v>700</v>
      </c>
      <c r="G107" s="412">
        <v>70005</v>
      </c>
      <c r="H107" s="412">
        <v>4400</v>
      </c>
      <c r="I107" s="50">
        <f>Q107</f>
        <v>1738937</v>
      </c>
      <c r="J107" s="50">
        <v>385937</v>
      </c>
      <c r="K107" s="50"/>
      <c r="L107" s="50">
        <f>J107+K107</f>
        <v>385937</v>
      </c>
      <c r="M107" s="50">
        <v>369000</v>
      </c>
      <c r="N107" s="50">
        <v>369000</v>
      </c>
      <c r="O107" s="50">
        <v>369000</v>
      </c>
      <c r="P107" s="50">
        <v>246000</v>
      </c>
      <c r="Q107" s="163">
        <f t="shared" si="22"/>
        <v>1738937</v>
      </c>
    </row>
    <row r="108" spans="1:17" ht="26.25" customHeight="1">
      <c r="A108" s="136" t="s">
        <v>142</v>
      </c>
      <c r="B108" s="381" t="s">
        <v>339</v>
      </c>
      <c r="C108" s="519" t="s">
        <v>177</v>
      </c>
      <c r="D108" s="518">
        <v>2012</v>
      </c>
      <c r="E108" s="518">
        <v>2014</v>
      </c>
      <c r="F108" s="518">
        <v>700</v>
      </c>
      <c r="G108" s="518">
        <v>70005</v>
      </c>
      <c r="H108" s="518">
        <v>4400</v>
      </c>
      <c r="I108" s="50">
        <v>54255</v>
      </c>
      <c r="J108" s="50">
        <v>17555</v>
      </c>
      <c r="K108" s="50"/>
      <c r="L108" s="50">
        <f>J108+K108</f>
        <v>17555</v>
      </c>
      <c r="M108" s="50">
        <v>18100</v>
      </c>
      <c r="N108" s="50">
        <v>18600</v>
      </c>
      <c r="O108" s="50"/>
      <c r="P108" s="50"/>
      <c r="Q108" s="163">
        <f>SUM(L108:P108)</f>
        <v>54255</v>
      </c>
    </row>
    <row r="109" spans="1:17" ht="25.5" customHeight="1">
      <c r="A109" s="136" t="s">
        <v>143</v>
      </c>
      <c r="B109" s="381" t="s">
        <v>326</v>
      </c>
      <c r="C109" s="468" t="s">
        <v>177</v>
      </c>
      <c r="D109" s="467">
        <v>2011</v>
      </c>
      <c r="E109" s="467">
        <v>2012</v>
      </c>
      <c r="F109" s="467">
        <v>700</v>
      </c>
      <c r="G109" s="467">
        <v>70005</v>
      </c>
      <c r="H109" s="467">
        <v>4400</v>
      </c>
      <c r="I109" s="50">
        <v>73800</v>
      </c>
      <c r="J109" s="50">
        <v>67650</v>
      </c>
      <c r="K109" s="50"/>
      <c r="L109" s="50">
        <f t="shared" si="23"/>
        <v>67650</v>
      </c>
      <c r="M109" s="50"/>
      <c r="N109" s="50"/>
      <c r="O109" s="50"/>
      <c r="P109" s="50"/>
      <c r="Q109" s="163">
        <f t="shared" si="22"/>
        <v>67650</v>
      </c>
    </row>
    <row r="110" spans="1:17" ht="25.5" customHeight="1">
      <c r="A110" s="136" t="s">
        <v>211</v>
      </c>
      <c r="B110" s="381" t="s">
        <v>378</v>
      </c>
      <c r="C110" s="487" t="s">
        <v>177</v>
      </c>
      <c r="D110" s="486">
        <v>2011</v>
      </c>
      <c r="E110" s="486">
        <v>2014</v>
      </c>
      <c r="F110" s="486">
        <v>700</v>
      </c>
      <c r="G110" s="486">
        <v>70005</v>
      </c>
      <c r="H110" s="486">
        <v>4400</v>
      </c>
      <c r="I110" s="50">
        <v>345385</v>
      </c>
      <c r="J110" s="482">
        <v>115128</v>
      </c>
      <c r="K110" s="482"/>
      <c r="L110" s="50">
        <f t="shared" si="23"/>
        <v>115128</v>
      </c>
      <c r="M110" s="482">
        <v>115128</v>
      </c>
      <c r="N110" s="482">
        <v>97859</v>
      </c>
      <c r="O110" s="482"/>
      <c r="P110" s="50"/>
      <c r="Q110" s="163">
        <f t="shared" si="22"/>
        <v>328115</v>
      </c>
    </row>
    <row r="111" spans="1:20" ht="25.5" customHeight="1">
      <c r="A111" s="136" t="s">
        <v>278</v>
      </c>
      <c r="B111" s="488" t="s">
        <v>316</v>
      </c>
      <c r="C111" s="487" t="s">
        <v>317</v>
      </c>
      <c r="D111" s="486">
        <v>2011</v>
      </c>
      <c r="E111" s="486">
        <v>2016</v>
      </c>
      <c r="F111" s="486">
        <v>710</v>
      </c>
      <c r="G111" s="486">
        <v>71004</v>
      </c>
      <c r="H111" s="486">
        <v>4300</v>
      </c>
      <c r="I111" s="50">
        <f>Q111+101993</f>
        <v>1621185</v>
      </c>
      <c r="J111" s="50">
        <v>399192</v>
      </c>
      <c r="K111" s="50"/>
      <c r="L111" s="50">
        <f t="shared" si="23"/>
        <v>399192</v>
      </c>
      <c r="M111" s="50">
        <v>280000</v>
      </c>
      <c r="N111" s="50">
        <v>280000</v>
      </c>
      <c r="O111" s="50">
        <v>280000</v>
      </c>
      <c r="P111" s="50">
        <v>280000</v>
      </c>
      <c r="Q111" s="163">
        <f t="shared" si="22"/>
        <v>1519192</v>
      </c>
      <c r="R111" s="50">
        <v>280000</v>
      </c>
      <c r="S111" s="50"/>
      <c r="T111" s="163">
        <f>SUM(N111:R111)</f>
        <v>2639192</v>
      </c>
    </row>
    <row r="112" spans="1:20" ht="25.5" customHeight="1">
      <c r="A112" s="136" t="s">
        <v>279</v>
      </c>
      <c r="B112" s="381" t="s">
        <v>204</v>
      </c>
      <c r="C112" s="487" t="s">
        <v>205</v>
      </c>
      <c r="D112" s="486">
        <v>2011</v>
      </c>
      <c r="E112" s="486">
        <v>2013</v>
      </c>
      <c r="F112" s="486">
        <v>750</v>
      </c>
      <c r="G112" s="486">
        <v>75023</v>
      </c>
      <c r="H112" s="486">
        <v>4300</v>
      </c>
      <c r="I112" s="50">
        <v>549000</v>
      </c>
      <c r="J112" s="482">
        <v>183000</v>
      </c>
      <c r="K112" s="482"/>
      <c r="L112" s="50">
        <f t="shared" si="23"/>
        <v>183000</v>
      </c>
      <c r="M112" s="482">
        <v>183000</v>
      </c>
      <c r="N112" s="482">
        <v>0</v>
      </c>
      <c r="O112" s="482">
        <v>0</v>
      </c>
      <c r="P112" s="50">
        <v>0</v>
      </c>
      <c r="Q112" s="163">
        <f t="shared" si="22"/>
        <v>366000</v>
      </c>
      <c r="R112" s="489"/>
      <c r="S112" s="489"/>
      <c r="T112" s="411"/>
    </row>
    <row r="113" spans="1:20" ht="25.5" customHeight="1">
      <c r="A113" s="136" t="s">
        <v>280</v>
      </c>
      <c r="B113" s="381" t="s">
        <v>206</v>
      </c>
      <c r="C113" s="487" t="s">
        <v>205</v>
      </c>
      <c r="D113" s="486">
        <v>2011</v>
      </c>
      <c r="E113" s="486">
        <v>2012</v>
      </c>
      <c r="F113" s="486">
        <v>750</v>
      </c>
      <c r="G113" s="486">
        <v>75023</v>
      </c>
      <c r="H113" s="486">
        <v>4300</v>
      </c>
      <c r="I113" s="50">
        <v>8198</v>
      </c>
      <c r="J113" s="490">
        <v>4099</v>
      </c>
      <c r="K113" s="490"/>
      <c r="L113" s="50">
        <f t="shared" si="23"/>
        <v>4099</v>
      </c>
      <c r="M113" s="490">
        <v>0</v>
      </c>
      <c r="N113" s="482">
        <v>0</v>
      </c>
      <c r="O113" s="482">
        <v>0</v>
      </c>
      <c r="P113" s="50">
        <v>0</v>
      </c>
      <c r="Q113" s="163">
        <f t="shared" si="22"/>
        <v>4099</v>
      </c>
      <c r="R113" s="489"/>
      <c r="S113" s="489"/>
      <c r="T113" s="411"/>
    </row>
    <row r="114" spans="1:20" ht="38.25" customHeight="1">
      <c r="A114" s="136" t="s">
        <v>281</v>
      </c>
      <c r="B114" s="381" t="s">
        <v>245</v>
      </c>
      <c r="C114" s="487" t="s">
        <v>205</v>
      </c>
      <c r="D114" s="486">
        <v>2011</v>
      </c>
      <c r="E114" s="486">
        <v>2012</v>
      </c>
      <c r="F114" s="486">
        <v>750</v>
      </c>
      <c r="G114" s="486">
        <v>75023</v>
      </c>
      <c r="H114" s="486">
        <v>4300</v>
      </c>
      <c r="I114" s="50">
        <v>6360</v>
      </c>
      <c r="J114" s="490">
        <v>3180</v>
      </c>
      <c r="K114" s="490"/>
      <c r="L114" s="50">
        <f t="shared" si="23"/>
        <v>3180</v>
      </c>
      <c r="M114" s="490">
        <v>0</v>
      </c>
      <c r="N114" s="482">
        <v>0</v>
      </c>
      <c r="O114" s="482">
        <v>0</v>
      </c>
      <c r="P114" s="50">
        <v>0</v>
      </c>
      <c r="Q114" s="163">
        <f t="shared" si="22"/>
        <v>3180</v>
      </c>
      <c r="R114" s="489"/>
      <c r="S114" s="489"/>
      <c r="T114" s="411"/>
    </row>
    <row r="115" spans="1:20" ht="23.25" customHeight="1">
      <c r="A115" s="136" t="s">
        <v>282</v>
      </c>
      <c r="B115" s="381" t="s">
        <v>342</v>
      </c>
      <c r="C115" s="533" t="s">
        <v>343</v>
      </c>
      <c r="D115" s="531">
        <v>2012</v>
      </c>
      <c r="E115" s="531">
        <v>2013</v>
      </c>
      <c r="F115" s="531">
        <v>750</v>
      </c>
      <c r="G115" s="531">
        <v>75023</v>
      </c>
      <c r="H115" s="531">
        <v>4430</v>
      </c>
      <c r="I115" s="50">
        <f>Q115</f>
        <v>34000</v>
      </c>
      <c r="J115" s="482">
        <v>17000</v>
      </c>
      <c r="K115" s="490"/>
      <c r="L115" s="50">
        <f>J115+K115</f>
        <v>17000</v>
      </c>
      <c r="M115" s="490">
        <v>17000</v>
      </c>
      <c r="N115" s="482"/>
      <c r="O115" s="482"/>
      <c r="P115" s="50"/>
      <c r="Q115" s="163">
        <f>SUM(L115:P115)</f>
        <v>34000</v>
      </c>
      <c r="R115" s="489"/>
      <c r="S115" s="489"/>
      <c r="T115" s="411"/>
    </row>
    <row r="116" spans="1:20" ht="26.25" customHeight="1">
      <c r="A116" s="136" t="s">
        <v>283</v>
      </c>
      <c r="B116" s="381" t="s">
        <v>368</v>
      </c>
      <c r="C116" s="522" t="s">
        <v>343</v>
      </c>
      <c r="D116" s="521">
        <v>2012</v>
      </c>
      <c r="E116" s="521">
        <v>2014</v>
      </c>
      <c r="F116" s="521">
        <v>750</v>
      </c>
      <c r="G116" s="521">
        <v>75023</v>
      </c>
      <c r="H116" s="521">
        <v>4430</v>
      </c>
      <c r="I116" s="50">
        <f>Q116</f>
        <v>45000</v>
      </c>
      <c r="J116" s="482">
        <v>15000</v>
      </c>
      <c r="K116" s="490"/>
      <c r="L116" s="50">
        <f t="shared" si="23"/>
        <v>15000</v>
      </c>
      <c r="M116" s="490">
        <v>15000</v>
      </c>
      <c r="N116" s="482">
        <v>15000</v>
      </c>
      <c r="O116" s="482"/>
      <c r="P116" s="50"/>
      <c r="Q116" s="163">
        <f t="shared" si="22"/>
        <v>45000</v>
      </c>
      <c r="R116" s="489"/>
      <c r="S116" s="489"/>
      <c r="T116" s="411"/>
    </row>
    <row r="117" spans="1:20" ht="25.5" customHeight="1">
      <c r="A117" s="136" t="s">
        <v>304</v>
      </c>
      <c r="B117" s="488" t="s">
        <v>319</v>
      </c>
      <c r="C117" s="487" t="s">
        <v>205</v>
      </c>
      <c r="D117" s="486">
        <v>2011</v>
      </c>
      <c r="E117" s="486">
        <v>2012</v>
      </c>
      <c r="F117" s="486">
        <v>750</v>
      </c>
      <c r="G117" s="486">
        <v>75023</v>
      </c>
      <c r="H117" s="486">
        <v>4300</v>
      </c>
      <c r="I117" s="50">
        <v>79950</v>
      </c>
      <c r="J117" s="482">
        <v>73800</v>
      </c>
      <c r="K117" s="482"/>
      <c r="L117" s="50">
        <f t="shared" si="23"/>
        <v>73800</v>
      </c>
      <c r="M117" s="482"/>
      <c r="N117" s="481"/>
      <c r="O117" s="482"/>
      <c r="P117" s="50"/>
      <c r="Q117" s="163">
        <f t="shared" si="22"/>
        <v>73800</v>
      </c>
      <c r="R117" s="489"/>
      <c r="S117" s="489"/>
      <c r="T117" s="411"/>
    </row>
    <row r="118" spans="1:20" ht="24.75" customHeight="1">
      <c r="A118" s="136" t="s">
        <v>305</v>
      </c>
      <c r="B118" s="381" t="s">
        <v>337</v>
      </c>
      <c r="C118" s="517" t="s">
        <v>177</v>
      </c>
      <c r="D118" s="516">
        <v>2012</v>
      </c>
      <c r="E118" s="516">
        <v>2013</v>
      </c>
      <c r="F118" s="516">
        <v>750</v>
      </c>
      <c r="G118" s="516">
        <v>75023</v>
      </c>
      <c r="H118" s="516">
        <v>4300</v>
      </c>
      <c r="I118" s="50">
        <f>Q118</f>
        <v>2583</v>
      </c>
      <c r="J118" s="50">
        <v>1476</v>
      </c>
      <c r="K118" s="50"/>
      <c r="L118" s="50">
        <f t="shared" si="23"/>
        <v>1476</v>
      </c>
      <c r="M118" s="50">
        <v>1107</v>
      </c>
      <c r="N118" s="50">
        <v>0</v>
      </c>
      <c r="O118" s="50">
        <v>0</v>
      </c>
      <c r="P118" s="50">
        <v>0</v>
      </c>
      <c r="Q118" s="163">
        <f t="shared" si="22"/>
        <v>2583</v>
      </c>
      <c r="R118" s="489"/>
      <c r="S118" s="489"/>
      <c r="T118" s="411"/>
    </row>
    <row r="119" spans="1:20" ht="44.25" customHeight="1">
      <c r="A119" s="136" t="s">
        <v>312</v>
      </c>
      <c r="B119" s="381" t="s">
        <v>350</v>
      </c>
      <c r="C119" s="526" t="s">
        <v>343</v>
      </c>
      <c r="D119" s="524">
        <v>2012</v>
      </c>
      <c r="E119" s="524">
        <v>2013</v>
      </c>
      <c r="F119" s="524">
        <v>750</v>
      </c>
      <c r="G119" s="524">
        <v>75075</v>
      </c>
      <c r="H119" s="524">
        <v>4300</v>
      </c>
      <c r="I119" s="50">
        <v>560000</v>
      </c>
      <c r="J119" s="50">
        <v>260000</v>
      </c>
      <c r="K119" s="50"/>
      <c r="L119" s="50">
        <v>260000</v>
      </c>
      <c r="M119" s="50">
        <v>300000</v>
      </c>
      <c r="N119" s="50"/>
      <c r="O119" s="50"/>
      <c r="P119" s="50"/>
      <c r="Q119" s="163">
        <f t="shared" si="22"/>
        <v>560000</v>
      </c>
      <c r="R119" s="489"/>
      <c r="S119" s="489"/>
      <c r="T119" s="411"/>
    </row>
    <row r="120" spans="1:20" ht="25.5" customHeight="1">
      <c r="A120" s="136" t="s">
        <v>318</v>
      </c>
      <c r="B120" s="381" t="s">
        <v>338</v>
      </c>
      <c r="C120" s="517" t="s">
        <v>177</v>
      </c>
      <c r="D120" s="516">
        <v>2012</v>
      </c>
      <c r="E120" s="516">
        <v>2013</v>
      </c>
      <c r="F120" s="516">
        <v>754</v>
      </c>
      <c r="G120" s="516">
        <v>75412</v>
      </c>
      <c r="H120" s="516">
        <v>4300</v>
      </c>
      <c r="I120" s="50">
        <f>Q120</f>
        <v>3813</v>
      </c>
      <c r="J120" s="50">
        <v>2952</v>
      </c>
      <c r="K120" s="50"/>
      <c r="L120" s="50">
        <f t="shared" si="23"/>
        <v>2952</v>
      </c>
      <c r="M120" s="50">
        <v>861</v>
      </c>
      <c r="N120" s="50">
        <v>0</v>
      </c>
      <c r="O120" s="50">
        <v>0</v>
      </c>
      <c r="P120" s="50">
        <v>0</v>
      </c>
      <c r="Q120" s="163">
        <f t="shared" si="22"/>
        <v>3813</v>
      </c>
      <c r="R120" s="489"/>
      <c r="S120" s="489"/>
      <c r="T120" s="411"/>
    </row>
    <row r="121" spans="1:20" ht="25.5" customHeight="1">
      <c r="A121" s="136" t="s">
        <v>352</v>
      </c>
      <c r="B121" s="381" t="s">
        <v>369</v>
      </c>
      <c r="C121" s="533" t="s">
        <v>177</v>
      </c>
      <c r="D121" s="531">
        <v>2012</v>
      </c>
      <c r="E121" s="531">
        <v>2014</v>
      </c>
      <c r="F121" s="531">
        <v>754</v>
      </c>
      <c r="G121" s="531">
        <v>75412</v>
      </c>
      <c r="H121" s="531">
        <v>4300</v>
      </c>
      <c r="I121" s="50">
        <f>Q121</f>
        <v>105000</v>
      </c>
      <c r="J121" s="50">
        <v>35000</v>
      </c>
      <c r="K121" s="50"/>
      <c r="L121" s="50">
        <f>J121+K121</f>
        <v>35000</v>
      </c>
      <c r="M121" s="50">
        <v>35000</v>
      </c>
      <c r="N121" s="50">
        <v>35000</v>
      </c>
      <c r="O121" s="50">
        <v>0</v>
      </c>
      <c r="P121" s="50">
        <v>0</v>
      </c>
      <c r="Q121" s="163">
        <f>SUM(L121:P121)</f>
        <v>105000</v>
      </c>
      <c r="R121" s="489"/>
      <c r="S121" s="489"/>
      <c r="T121" s="411"/>
    </row>
    <row r="122" spans="1:20" ht="25.5" customHeight="1">
      <c r="A122" s="136" t="s">
        <v>353</v>
      </c>
      <c r="B122" s="381" t="s">
        <v>370</v>
      </c>
      <c r="C122" s="533" t="s">
        <v>177</v>
      </c>
      <c r="D122" s="531">
        <v>2012</v>
      </c>
      <c r="E122" s="531">
        <v>2013</v>
      </c>
      <c r="F122" s="531">
        <v>754</v>
      </c>
      <c r="G122" s="531">
        <v>75412</v>
      </c>
      <c r="H122" s="531">
        <v>4300</v>
      </c>
      <c r="I122" s="50">
        <f>Q122</f>
        <v>10000</v>
      </c>
      <c r="J122" s="50">
        <v>5000</v>
      </c>
      <c r="K122" s="50"/>
      <c r="L122" s="50">
        <f>J122+K122</f>
        <v>5000</v>
      </c>
      <c r="M122" s="50">
        <v>5000</v>
      </c>
      <c r="N122" s="50">
        <v>0</v>
      </c>
      <c r="O122" s="50">
        <v>0</v>
      </c>
      <c r="P122" s="50">
        <v>0</v>
      </c>
      <c r="Q122" s="163">
        <f>SUM(L122:P122)</f>
        <v>10000</v>
      </c>
      <c r="R122" s="489"/>
      <c r="S122" s="489"/>
      <c r="T122" s="411"/>
    </row>
    <row r="123" spans="1:17" ht="24.75" customHeight="1">
      <c r="A123" s="136" t="s">
        <v>354</v>
      </c>
      <c r="B123" s="381" t="s">
        <v>276</v>
      </c>
      <c r="C123" s="416" t="s">
        <v>277</v>
      </c>
      <c r="D123" s="479">
        <v>2011</v>
      </c>
      <c r="E123" s="479">
        <v>2014</v>
      </c>
      <c r="F123" s="415">
        <v>801</v>
      </c>
      <c r="G123" s="415">
        <v>80101</v>
      </c>
      <c r="H123" s="415">
        <v>4260</v>
      </c>
      <c r="I123" s="50">
        <f>SUM(J123:N123)</f>
        <v>1380000</v>
      </c>
      <c r="J123" s="50">
        <v>330000</v>
      </c>
      <c r="K123" s="50"/>
      <c r="L123" s="50">
        <f t="shared" si="23"/>
        <v>330000</v>
      </c>
      <c r="M123" s="50">
        <v>350000</v>
      </c>
      <c r="N123" s="50">
        <v>370000</v>
      </c>
      <c r="O123" s="50"/>
      <c r="P123" s="50"/>
      <c r="Q123" s="163">
        <f t="shared" si="22"/>
        <v>1050000</v>
      </c>
    </row>
    <row r="124" spans="1:17" ht="24.75" customHeight="1">
      <c r="A124" s="136" t="s">
        <v>355</v>
      </c>
      <c r="B124" s="381" t="s">
        <v>276</v>
      </c>
      <c r="C124" s="416" t="s">
        <v>277</v>
      </c>
      <c r="D124" s="479">
        <v>2011</v>
      </c>
      <c r="E124" s="479">
        <v>2014</v>
      </c>
      <c r="F124" s="415">
        <v>801</v>
      </c>
      <c r="G124" s="415">
        <v>80104</v>
      </c>
      <c r="H124" s="415">
        <v>4260</v>
      </c>
      <c r="I124" s="50">
        <f>SUM(J124:N124)</f>
        <v>329000</v>
      </c>
      <c r="J124" s="50">
        <v>78000</v>
      </c>
      <c r="K124" s="50"/>
      <c r="L124" s="50">
        <f t="shared" si="23"/>
        <v>78000</v>
      </c>
      <c r="M124" s="50">
        <v>84000</v>
      </c>
      <c r="N124" s="50">
        <v>89000</v>
      </c>
      <c r="O124" s="50"/>
      <c r="P124" s="50"/>
      <c r="Q124" s="163">
        <f t="shared" si="22"/>
        <v>251000</v>
      </c>
    </row>
    <row r="125" spans="1:17" ht="25.5" customHeight="1">
      <c r="A125" s="136" t="s">
        <v>356</v>
      </c>
      <c r="B125" s="381" t="s">
        <v>276</v>
      </c>
      <c r="C125" s="416" t="s">
        <v>277</v>
      </c>
      <c r="D125" s="479">
        <v>2011</v>
      </c>
      <c r="E125" s="479">
        <v>2014</v>
      </c>
      <c r="F125" s="415">
        <v>801</v>
      </c>
      <c r="G125" s="415">
        <v>80110</v>
      </c>
      <c r="H125" s="415">
        <v>4260</v>
      </c>
      <c r="I125" s="50">
        <f>SUM(J125:N125)</f>
        <v>690000</v>
      </c>
      <c r="J125" s="50">
        <v>160000</v>
      </c>
      <c r="K125" s="50"/>
      <c r="L125" s="50">
        <f t="shared" si="23"/>
        <v>160000</v>
      </c>
      <c r="M125" s="50">
        <v>180000</v>
      </c>
      <c r="N125" s="50">
        <v>190000</v>
      </c>
      <c r="O125" s="50"/>
      <c r="P125" s="50"/>
      <c r="Q125" s="163">
        <f t="shared" si="22"/>
        <v>530000</v>
      </c>
    </row>
    <row r="126" spans="1:17" ht="24.75" customHeight="1">
      <c r="A126" s="136" t="s">
        <v>357</v>
      </c>
      <c r="B126" s="381" t="s">
        <v>276</v>
      </c>
      <c r="C126" s="416" t="s">
        <v>277</v>
      </c>
      <c r="D126" s="479">
        <v>2011</v>
      </c>
      <c r="E126" s="479">
        <v>2014</v>
      </c>
      <c r="F126" s="415">
        <v>801</v>
      </c>
      <c r="G126" s="415">
        <v>80148</v>
      </c>
      <c r="H126" s="415">
        <v>4260</v>
      </c>
      <c r="I126" s="50">
        <f>SUM(J126:N126)</f>
        <v>84000</v>
      </c>
      <c r="J126" s="50">
        <v>18000</v>
      </c>
      <c r="K126" s="50"/>
      <c r="L126" s="50">
        <f t="shared" si="23"/>
        <v>18000</v>
      </c>
      <c r="M126" s="50">
        <v>22000</v>
      </c>
      <c r="N126" s="50">
        <v>26000</v>
      </c>
      <c r="O126" s="50"/>
      <c r="P126" s="50"/>
      <c r="Q126" s="163">
        <f t="shared" si="22"/>
        <v>66000</v>
      </c>
    </row>
    <row r="127" spans="1:20" ht="51" customHeight="1">
      <c r="A127" s="136" t="s">
        <v>358</v>
      </c>
      <c r="B127" s="381" t="s">
        <v>310</v>
      </c>
      <c r="C127" s="480" t="s">
        <v>277</v>
      </c>
      <c r="D127" s="479">
        <v>2011</v>
      </c>
      <c r="E127" s="479">
        <v>2012</v>
      </c>
      <c r="F127" s="479">
        <v>801</v>
      </c>
      <c r="G127" s="479">
        <v>80101</v>
      </c>
      <c r="H127" s="479">
        <v>4300</v>
      </c>
      <c r="I127" s="50">
        <v>219696</v>
      </c>
      <c r="J127" s="481">
        <v>131817</v>
      </c>
      <c r="K127" s="481"/>
      <c r="L127" s="50">
        <f t="shared" si="23"/>
        <v>131817</v>
      </c>
      <c r="M127" s="482"/>
      <c r="N127" s="481"/>
      <c r="O127" s="50"/>
      <c r="P127" s="50"/>
      <c r="Q127" s="163">
        <f t="shared" si="22"/>
        <v>131817</v>
      </c>
      <c r="R127" s="50"/>
      <c r="S127" s="50"/>
      <c r="T127" s="163">
        <f>SUM(N127:R127)</f>
        <v>131817</v>
      </c>
    </row>
    <row r="128" spans="1:20" ht="41.25" customHeight="1">
      <c r="A128" s="136" t="s">
        <v>359</v>
      </c>
      <c r="B128" s="381" t="s">
        <v>311</v>
      </c>
      <c r="C128" s="480" t="s">
        <v>277</v>
      </c>
      <c r="D128" s="479">
        <v>2011</v>
      </c>
      <c r="E128" s="479">
        <v>2012</v>
      </c>
      <c r="F128" s="479">
        <v>801</v>
      </c>
      <c r="G128" s="479">
        <v>80101</v>
      </c>
      <c r="H128" s="479">
        <v>4300</v>
      </c>
      <c r="I128" s="50">
        <v>978303</v>
      </c>
      <c r="J128" s="481">
        <v>586982</v>
      </c>
      <c r="K128" s="481"/>
      <c r="L128" s="50">
        <f t="shared" si="23"/>
        <v>586982</v>
      </c>
      <c r="M128" s="482"/>
      <c r="N128" s="481"/>
      <c r="O128" s="50"/>
      <c r="P128" s="50"/>
      <c r="Q128" s="163">
        <f t="shared" si="22"/>
        <v>586982</v>
      </c>
      <c r="R128" s="50"/>
      <c r="S128" s="50"/>
      <c r="T128" s="163">
        <f>SUM(N128:R128)</f>
        <v>586982</v>
      </c>
    </row>
    <row r="129" spans="1:20" ht="25.5" customHeight="1">
      <c r="A129" s="136" t="s">
        <v>360</v>
      </c>
      <c r="B129" s="381" t="s">
        <v>371</v>
      </c>
      <c r="C129" s="522" t="s">
        <v>343</v>
      </c>
      <c r="D129" s="521">
        <v>2012</v>
      </c>
      <c r="E129" s="521">
        <v>2013</v>
      </c>
      <c r="F129" s="521">
        <v>801</v>
      </c>
      <c r="G129" s="521">
        <v>80101</v>
      </c>
      <c r="H129" s="521">
        <v>4430</v>
      </c>
      <c r="I129" s="50">
        <f>Q129</f>
        <v>44000</v>
      </c>
      <c r="J129" s="482">
        <v>22000</v>
      </c>
      <c r="K129" s="490"/>
      <c r="L129" s="50">
        <f>J129+K129</f>
        <v>22000</v>
      </c>
      <c r="M129" s="490">
        <v>22000</v>
      </c>
      <c r="N129" s="482"/>
      <c r="O129" s="482"/>
      <c r="P129" s="50"/>
      <c r="Q129" s="163">
        <f>SUM(L129:P129)</f>
        <v>44000</v>
      </c>
      <c r="R129" s="489"/>
      <c r="S129" s="489"/>
      <c r="T129" s="411"/>
    </row>
    <row r="130" spans="1:20" ht="25.5" customHeight="1">
      <c r="A130" s="136" t="s">
        <v>361</v>
      </c>
      <c r="B130" s="381" t="s">
        <v>372</v>
      </c>
      <c r="C130" s="522" t="s">
        <v>343</v>
      </c>
      <c r="D130" s="521">
        <v>2012</v>
      </c>
      <c r="E130" s="521">
        <v>2013</v>
      </c>
      <c r="F130" s="521">
        <v>801</v>
      </c>
      <c r="G130" s="521">
        <v>80104</v>
      </c>
      <c r="H130" s="521">
        <v>4430</v>
      </c>
      <c r="I130" s="50">
        <f>Q130</f>
        <v>2000</v>
      </c>
      <c r="J130" s="490">
        <v>1000</v>
      </c>
      <c r="K130" s="490"/>
      <c r="L130" s="50">
        <f>J130+K130</f>
        <v>1000</v>
      </c>
      <c r="M130" s="490">
        <v>1000</v>
      </c>
      <c r="N130" s="482"/>
      <c r="O130" s="482"/>
      <c r="P130" s="50"/>
      <c r="Q130" s="163">
        <f>SUM(L130:P130)</f>
        <v>2000</v>
      </c>
      <c r="R130" s="489"/>
      <c r="S130" s="489"/>
      <c r="T130" s="411"/>
    </row>
    <row r="131" spans="1:20" ht="25.5" customHeight="1">
      <c r="A131" s="136" t="s">
        <v>362</v>
      </c>
      <c r="B131" s="381" t="s">
        <v>373</v>
      </c>
      <c r="C131" s="522" t="s">
        <v>343</v>
      </c>
      <c r="D131" s="521">
        <v>2012</v>
      </c>
      <c r="E131" s="521">
        <v>2013</v>
      </c>
      <c r="F131" s="521">
        <v>801</v>
      </c>
      <c r="G131" s="521">
        <v>80114</v>
      </c>
      <c r="H131" s="521">
        <v>4430</v>
      </c>
      <c r="I131" s="50">
        <f>Q131</f>
        <v>1000</v>
      </c>
      <c r="J131" s="490">
        <v>500</v>
      </c>
      <c r="K131" s="490"/>
      <c r="L131" s="50">
        <f>J131+K131</f>
        <v>500</v>
      </c>
      <c r="M131" s="490">
        <v>500</v>
      </c>
      <c r="N131" s="482"/>
      <c r="O131" s="482"/>
      <c r="P131" s="50"/>
      <c r="Q131" s="163">
        <f>SUM(L131:P131)</f>
        <v>1000</v>
      </c>
      <c r="R131" s="489"/>
      <c r="S131" s="489"/>
      <c r="T131" s="411"/>
    </row>
    <row r="132" spans="1:20" ht="25.5" customHeight="1">
      <c r="A132" s="136" t="s">
        <v>363</v>
      </c>
      <c r="B132" s="381" t="s">
        <v>374</v>
      </c>
      <c r="C132" s="522" t="s">
        <v>343</v>
      </c>
      <c r="D132" s="521">
        <v>2012</v>
      </c>
      <c r="E132" s="521">
        <v>2013</v>
      </c>
      <c r="F132" s="521">
        <v>852</v>
      </c>
      <c r="G132" s="521">
        <v>85219</v>
      </c>
      <c r="H132" s="521">
        <v>4430</v>
      </c>
      <c r="I132" s="50">
        <f>Q132</f>
        <v>800</v>
      </c>
      <c r="J132" s="490">
        <v>400</v>
      </c>
      <c r="K132" s="490"/>
      <c r="L132" s="50">
        <f>J132+K132</f>
        <v>400</v>
      </c>
      <c r="M132" s="490">
        <v>400</v>
      </c>
      <c r="N132" s="482"/>
      <c r="O132" s="482"/>
      <c r="P132" s="50"/>
      <c r="Q132" s="163">
        <f>SUM(L132:P132)</f>
        <v>800</v>
      </c>
      <c r="R132" s="489"/>
      <c r="S132" s="489"/>
      <c r="T132" s="411"/>
    </row>
    <row r="133" spans="1:17" ht="24" customHeight="1">
      <c r="A133" s="136" t="s">
        <v>364</v>
      </c>
      <c r="B133" s="381" t="s">
        <v>271</v>
      </c>
      <c r="C133" s="468" t="s">
        <v>288</v>
      </c>
      <c r="D133" s="479">
        <v>2011</v>
      </c>
      <c r="E133" s="479">
        <v>2014</v>
      </c>
      <c r="F133" s="412">
        <v>900</v>
      </c>
      <c r="G133" s="412">
        <v>90002</v>
      </c>
      <c r="H133" s="412">
        <v>4300</v>
      </c>
      <c r="I133" s="50">
        <v>572000</v>
      </c>
      <c r="J133" s="50">
        <v>200000</v>
      </c>
      <c r="K133" s="50"/>
      <c r="L133" s="50">
        <f t="shared" si="23"/>
        <v>200000</v>
      </c>
      <c r="M133" s="50">
        <v>180000</v>
      </c>
      <c r="N133" s="50">
        <v>190000</v>
      </c>
      <c r="O133" s="50"/>
      <c r="P133" s="50"/>
      <c r="Q133" s="163">
        <f t="shared" si="22"/>
        <v>570000</v>
      </c>
    </row>
    <row r="134" spans="1:17" ht="25.5" customHeight="1">
      <c r="A134" s="136" t="s">
        <v>365</v>
      </c>
      <c r="B134" s="381" t="s">
        <v>266</v>
      </c>
      <c r="C134" s="468" t="s">
        <v>177</v>
      </c>
      <c r="D134" s="412">
        <v>2011</v>
      </c>
      <c r="E134" s="412">
        <v>2012</v>
      </c>
      <c r="F134" s="412">
        <v>900</v>
      </c>
      <c r="G134" s="412">
        <v>90003</v>
      </c>
      <c r="H134" s="412">
        <v>4300</v>
      </c>
      <c r="I134" s="50">
        <v>506000</v>
      </c>
      <c r="J134" s="50">
        <v>500000</v>
      </c>
      <c r="K134" s="50"/>
      <c r="L134" s="50">
        <f t="shared" si="23"/>
        <v>500000</v>
      </c>
      <c r="M134" s="50"/>
      <c r="N134" s="50"/>
      <c r="O134" s="50"/>
      <c r="P134" s="50"/>
      <c r="Q134" s="163">
        <f t="shared" si="22"/>
        <v>500000</v>
      </c>
    </row>
    <row r="135" spans="1:17" ht="24.75" customHeight="1">
      <c r="A135" s="136" t="s">
        <v>375</v>
      </c>
      <c r="B135" s="381" t="s">
        <v>265</v>
      </c>
      <c r="C135" s="468" t="s">
        <v>177</v>
      </c>
      <c r="D135" s="412">
        <v>2011</v>
      </c>
      <c r="E135" s="412">
        <v>2012</v>
      </c>
      <c r="F135" s="412">
        <v>900</v>
      </c>
      <c r="G135" s="412">
        <v>90004</v>
      </c>
      <c r="H135" s="412">
        <v>4300</v>
      </c>
      <c r="I135" s="50">
        <v>220000</v>
      </c>
      <c r="J135" s="50">
        <v>200000</v>
      </c>
      <c r="K135" s="50"/>
      <c r="L135" s="50">
        <f t="shared" si="23"/>
        <v>200000</v>
      </c>
      <c r="M135" s="50"/>
      <c r="N135" s="50"/>
      <c r="O135" s="50"/>
      <c r="P135" s="50"/>
      <c r="Q135" s="163">
        <f t="shared" si="22"/>
        <v>200000</v>
      </c>
    </row>
    <row r="136" spans="1:17" ht="24.75" customHeight="1">
      <c r="A136" s="136" t="s">
        <v>376</v>
      </c>
      <c r="B136" s="381" t="s">
        <v>303</v>
      </c>
      <c r="C136" s="468" t="s">
        <v>177</v>
      </c>
      <c r="D136" s="479">
        <v>2011</v>
      </c>
      <c r="E136" s="479">
        <v>2014</v>
      </c>
      <c r="F136" s="415">
        <v>900</v>
      </c>
      <c r="G136" s="415">
        <v>90015</v>
      </c>
      <c r="H136" s="415">
        <v>4260</v>
      </c>
      <c r="I136" s="50">
        <f>SUM(J136:N136)</f>
        <v>4010000</v>
      </c>
      <c r="J136" s="50">
        <v>980000</v>
      </c>
      <c r="K136" s="50"/>
      <c r="L136" s="50">
        <f t="shared" si="23"/>
        <v>980000</v>
      </c>
      <c r="M136" s="50">
        <v>1000000</v>
      </c>
      <c r="N136" s="50">
        <v>1050000</v>
      </c>
      <c r="O136" s="50"/>
      <c r="P136" s="50"/>
      <c r="Q136" s="163">
        <f t="shared" si="22"/>
        <v>3030000</v>
      </c>
    </row>
    <row r="137" spans="1:17" ht="25.5">
      <c r="A137" s="136" t="s">
        <v>377</v>
      </c>
      <c r="B137" s="381" t="s">
        <v>267</v>
      </c>
      <c r="C137" s="515" t="s">
        <v>177</v>
      </c>
      <c r="D137" s="514">
        <v>2011</v>
      </c>
      <c r="E137" s="514">
        <v>2012</v>
      </c>
      <c r="F137" s="514">
        <v>900</v>
      </c>
      <c r="G137" s="514">
        <v>90015</v>
      </c>
      <c r="H137" s="514">
        <v>4270</v>
      </c>
      <c r="I137" s="50">
        <v>254000</v>
      </c>
      <c r="J137" s="50">
        <v>250000</v>
      </c>
      <c r="K137" s="50"/>
      <c r="L137" s="50">
        <f>J137+K137</f>
        <v>250000</v>
      </c>
      <c r="M137" s="50"/>
      <c r="N137" s="50"/>
      <c r="O137" s="50"/>
      <c r="P137" s="50"/>
      <c r="Q137" s="163">
        <f>SUM(L137:P137)</f>
        <v>250000</v>
      </c>
    </row>
    <row r="138" spans="1:17" ht="12.75">
      <c r="A138" s="81"/>
      <c r="B138" s="81"/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81"/>
    </row>
    <row r="139" spans="1:3" ht="15">
      <c r="A139" s="36"/>
      <c r="B139" s="46"/>
      <c r="C139" s="47"/>
    </row>
    <row r="140" spans="1:3" ht="15">
      <c r="A140" s="36"/>
      <c r="B140" s="48"/>
      <c r="C140" s="47"/>
    </row>
    <row r="141" spans="1:3" ht="15">
      <c r="A141" s="49"/>
      <c r="B141" s="48"/>
      <c r="C141" s="47"/>
    </row>
    <row r="142" spans="1:3" ht="12.75">
      <c r="A142" s="36"/>
      <c r="B142" s="36"/>
      <c r="C142" s="47"/>
    </row>
  </sheetData>
  <sheetProtection/>
  <mergeCells count="80">
    <mergeCell ref="O91:O93"/>
    <mergeCell ref="F10:F11"/>
    <mergeCell ref="C90:C93"/>
    <mergeCell ref="Q8:Q11"/>
    <mergeCell ref="P91:P93"/>
    <mergeCell ref="F92:F93"/>
    <mergeCell ref="G92:G93"/>
    <mergeCell ref="H92:H93"/>
    <mergeCell ref="Q90:Q93"/>
    <mergeCell ref="M91:M93"/>
    <mergeCell ref="A90:A93"/>
    <mergeCell ref="B90:B93"/>
    <mergeCell ref="D90:E91"/>
    <mergeCell ref="F90:H91"/>
    <mergeCell ref="D92:D93"/>
    <mergeCell ref="E92:E93"/>
    <mergeCell ref="N91:N93"/>
    <mergeCell ref="F39:H39"/>
    <mergeCell ref="B24:B25"/>
    <mergeCell ref="F24:H24"/>
    <mergeCell ref="F51:H51"/>
    <mergeCell ref="J90:P90"/>
    <mergeCell ref="J91:L92"/>
    <mergeCell ref="I90:I93"/>
    <mergeCell ref="J33:P33"/>
    <mergeCell ref="H35:H36"/>
    <mergeCell ref="F19:H19"/>
    <mergeCell ref="B20:B21"/>
    <mergeCell ref="F20:H20"/>
    <mergeCell ref="J9:L10"/>
    <mergeCell ref="G10:G11"/>
    <mergeCell ref="H10:H11"/>
    <mergeCell ref="I8:I11"/>
    <mergeCell ref="B8:B11"/>
    <mergeCell ref="C8:C11"/>
    <mergeCell ref="D10:D11"/>
    <mergeCell ref="A6:Q7"/>
    <mergeCell ref="D8:E9"/>
    <mergeCell ref="F8:H9"/>
    <mergeCell ref="J8:P8"/>
    <mergeCell ref="M9:M11"/>
    <mergeCell ref="N9:N11"/>
    <mergeCell ref="O9:O11"/>
    <mergeCell ref="P9:P11"/>
    <mergeCell ref="A8:A11"/>
    <mergeCell ref="E10:E11"/>
    <mergeCell ref="A33:A36"/>
    <mergeCell ref="B33:B36"/>
    <mergeCell ref="C33:C36"/>
    <mergeCell ref="D33:E34"/>
    <mergeCell ref="F33:H34"/>
    <mergeCell ref="I33:I36"/>
    <mergeCell ref="D35:D36"/>
    <mergeCell ref="E35:E36"/>
    <mergeCell ref="F35:F36"/>
    <mergeCell ref="G35:G36"/>
    <mergeCell ref="Q33:Q36"/>
    <mergeCell ref="J34:L35"/>
    <mergeCell ref="M34:M36"/>
    <mergeCell ref="N34:N36"/>
    <mergeCell ref="O34:O36"/>
    <mergeCell ref="P34:P36"/>
    <mergeCell ref="A61:A64"/>
    <mergeCell ref="B61:B64"/>
    <mergeCell ref="C61:C64"/>
    <mergeCell ref="D61:E62"/>
    <mergeCell ref="F61:H62"/>
    <mergeCell ref="I61:I64"/>
    <mergeCell ref="D63:D64"/>
    <mergeCell ref="E63:E64"/>
    <mergeCell ref="F63:F64"/>
    <mergeCell ref="G63:G64"/>
    <mergeCell ref="H63:H64"/>
    <mergeCell ref="J61:P61"/>
    <mergeCell ref="Q61:Q64"/>
    <mergeCell ref="J62:L63"/>
    <mergeCell ref="M62:M64"/>
    <mergeCell ref="N62:N64"/>
    <mergeCell ref="O62:O64"/>
    <mergeCell ref="P62:P64"/>
  </mergeCells>
  <printOptions horizontalCentered="1"/>
  <pageMargins left="0.39375" right="0.19652777777777777" top="0.27569444444444446" bottom="0.44666666666666666" header="0.5118055555555555" footer="0.5118055555555555"/>
  <pageSetup horizontalDpi="1200" verticalDpi="12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UG</cp:lastModifiedBy>
  <cp:lastPrinted>2012-03-05T09:33:31Z</cp:lastPrinted>
  <dcterms:created xsi:type="dcterms:W3CDTF">2011-02-22T14:35:52Z</dcterms:created>
  <dcterms:modified xsi:type="dcterms:W3CDTF">2012-03-05T11:41:28Z</dcterms:modified>
  <cp:category/>
  <cp:version/>
  <cp:contentType/>
  <cp:contentStatus/>
</cp:coreProperties>
</file>