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4"/>
  </bookViews>
  <sheets>
    <sheet name="Arkusz4" sheetId="1" r:id="rId1"/>
    <sheet name="Arkusz5" sheetId="2" r:id="rId2"/>
    <sheet name="WPF" sheetId="3" r:id="rId3"/>
    <sheet name="Prognoza długu" sheetId="4" r:id="rId4"/>
    <sheet name="Wykaz przedsięwzięć" sheetId="5" r:id="rId5"/>
  </sheets>
  <definedNames>
    <definedName name="_xlnm.Print_Titles" localSheetId="4">'Wykaz przedsięwzięć'!$8:$9</definedName>
  </definedNames>
  <calcPr fullCalcOnLoad="1"/>
</workbook>
</file>

<file path=xl/sharedStrings.xml><?xml version="1.0" encoding="utf-8"?>
<sst xmlns="http://schemas.openxmlformats.org/spreadsheetml/2006/main" count="444" uniqueCount="243">
  <si>
    <t>SYMULACJA
spłaty oraz  kosztów kredytu planowanego na 2011 rok</t>
  </si>
  <si>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</si>
  <si>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</si>
  <si>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</si>
  <si>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</si>
  <si>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</si>
  <si>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</si>
  <si>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</si>
  <si>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</si>
  <si>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</si>
  <si>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</si>
  <si>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</si>
  <si>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</si>
  <si>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</si>
  <si>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</si>
  <si>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</si>
  <si>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</si>
  <si>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</si>
  <si>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</si>
  <si>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</si>
  <si>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</si>
  <si>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</si>
  <si>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</si>
  <si>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</si>
  <si>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</si>
  <si>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</si>
  <si>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</si>
  <si>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</si>
  <si>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</si>
  <si>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</si>
  <si>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</si>
  <si>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</si>
  <si>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</si>
  <si>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</si>
  <si>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</si>
  <si>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</si>
  <si>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</si>
  <si>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</si>
  <si>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</si>
  <si>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</si>
  <si>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</si>
  <si>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</si>
  <si>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</si>
  <si>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</si>
  <si>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</si>
  <si>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</si>
  <si>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</si>
  <si>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</si>
  <si>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</si>
  <si>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SYMULACJA
spłaty oraz  kosztów kredytu planowanego na 2012 rok</t>
  </si>
  <si>
    <t>Załącznik Nr 1</t>
  </si>
  <si>
    <t>Do Uchwały Nr 10/III/2010</t>
  </si>
  <si>
    <t>Rady Gminy Lesznowola</t>
  </si>
  <si>
    <t>29 grudnia 2010r.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</si>
  <si>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</si>
  <si>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</si>
  <si>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</si>
  <si>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</si>
  <si>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</si>
  <si>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</si>
  <si>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</si>
  <si>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</si>
  <si>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</si>
  <si>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</si>
  <si>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</si>
  <si>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</si>
  <si>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</si>
  <si>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</si>
  <si>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</si>
  <si>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</si>
  <si>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</si>
  <si>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 xml:space="preserve">Plan na           30 IX 2010 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</si>
  <si>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</si>
  <si>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</si>
  <si>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</si>
  <si>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</si>
  <si>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</si>
  <si>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</si>
  <si>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</si>
  <si>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</si>
  <si>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</si>
  <si>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</si>
  <si>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</si>
  <si>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</si>
  <si>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</si>
  <si>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</si>
  <si>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</si>
  <si>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</si>
  <si>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</si>
  <si>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</si>
  <si>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</si>
  <si>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</si>
  <si>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</si>
  <si>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</si>
  <si>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</si>
  <si>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</si>
  <si>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</si>
  <si>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</si>
  <si>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</si>
  <si>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</si>
  <si>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</si>
  <si>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</si>
  <si>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</si>
  <si>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</si>
  <si>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</si>
  <si>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</si>
  <si>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</si>
  <si>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</si>
  <si>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</si>
  <si>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</si>
  <si>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</si>
  <si>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</si>
  <si>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łączna kwota wyłączeń z art. 243 ust.3 pkt 1 Ustawy o finansach publicznych z dnia 27 sierpnia 2009r. oraz z art. 170 ust. 3 Ustawy o finansach publicznych  z dnia 30 czerwca 2005r. Przypadająca na dany rok budżetowy</t>
  </si>
  <si>
    <t>Kwota zobowiązań związku współtworzonego przez jst przypadająca do spłaty w danym roku budżetowym podlegająca doliczeniu zgodnie z art.. 244 Ustawy o finansach publicznych</t>
  </si>
  <si>
    <t>Relacja z art.169 ustawy o finansach publicznych z dnia 30 czerwca 2005r.                          (max 15% )  7/1</t>
  </si>
  <si>
    <t>Relacja z art.170 ustawy o finansach publicznych z dnia 30 czerwca 2005r.                       (max 60% ) 13/1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</si>
  <si>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</si>
  <si>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</si>
  <si>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</si>
  <si>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</si>
  <si>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</si>
  <si>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</si>
  <si>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</si>
  <si>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</si>
  <si>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z dnia 29 grudnia 2010r.</t>
  </si>
  <si>
    <t>PROGNOZA DŁUGU GMINY LESZNOWOLA NA LATA 2011 - 2021</t>
  </si>
  <si>
    <t>LP.</t>
  </si>
  <si>
    <t>plan na 2010</t>
  </si>
  <si>
    <t xml:space="preserve">PROGNOZA </t>
  </si>
  <si>
    <t>Kwota długu, w tym:</t>
  </si>
  <si>
    <t>Łączna kwota wyłączeń z art. 243 ust 3 pkt 1 ufp oraz z art. 170 ust 3 sufp</t>
  </si>
  <si>
    <t>Kwota wyłączeń z art. 243 us t3 pkt 1 ufp oraz z art.. 170 ust 3 sufp przypadająca na dany rok budżetowy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</si>
  <si>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</si>
  <si>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</si>
  <si>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</si>
  <si>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</si>
  <si>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</si>
  <si>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</si>
  <si>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</si>
  <si>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</si>
  <si>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</si>
  <si>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</si>
  <si>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</si>
  <si>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</si>
  <si>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</si>
  <si>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</si>
  <si>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</si>
  <si>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</si>
  <si>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</si>
  <si>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</si>
  <si>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</si>
  <si>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</si>
  <si>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</si>
  <si>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</si>
  <si>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</si>
  <si>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</si>
  <si>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</si>
  <si>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</si>
  <si>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</si>
  <si>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</si>
  <si>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</si>
  <si>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 xml:space="preserve">WYKAZ PRZEDSIĘWZIĘĆ GMINY LESZNOWOLA  NA LATA 2011 -2014 </t>
  </si>
  <si>
    <t>Nazwa i cel</t>
  </si>
  <si>
    <t xml:space="preserve">Jednostka odpowiedzialna </t>
  </si>
  <si>
    <t>okres realizacji       ( w wierszu program/umowa)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</si>
  <si>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</si>
  <si>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</si>
  <si>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</si>
  <si>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</si>
  <si>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</si>
  <si>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</si>
  <si>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</si>
  <si>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</si>
  <si>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</si>
  <si>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</si>
  <si>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</si>
  <si>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</si>
  <si>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</si>
  <si>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Programy projekty lub zadania ( razem)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</si>
  <si>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</si>
  <si>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</si>
  <si>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</si>
  <si>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</si>
  <si>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</si>
  <si>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Razem 010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</si>
  <si>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</si>
  <si>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</si>
  <si>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</si>
  <si>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</si>
  <si>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</si>
  <si>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</si>
  <si>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</si>
  <si>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</si>
  <si>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</si>
  <si>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</si>
  <si>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Razem 921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</si>
  <si>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</si>
  <si>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</si>
  <si>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</si>
  <si>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</si>
  <si>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</si>
  <si>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</si>
  <si>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</si>
  <si>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</si>
  <si>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</si>
  <si>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</si>
  <si>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</si>
  <si>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</si>
  <si>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 xml:space="preserve">Mysiadło - Projekt i budowa ""Centrum Edukacji i Sportu" 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</si>
  <si>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</si>
  <si>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</si>
  <si>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</si>
  <si>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</si>
  <si>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</si>
  <si>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</si>
  <si>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</si>
  <si>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Lesznowola - Projekt i budowa  ul. Okrężnej oraz projekty branżowe wraz z wytyczeniem geodezyjnym - I etap</t>
  </si>
  <si>
    <t>60016</t>
  </si>
  <si>
    <t>2.1.2</t>
  </si>
  <si>
    <t>Warszawianka  - Budowa ciągu pieszo-jezdnego od ul. Rejonowej (vis a vis ul. Brzozowej)</t>
  </si>
  <si>
    <t>2.1.3</t>
  </si>
  <si>
    <t>Mysiadło i Nowa Iwiczna - Budowa odwodnienia</t>
  </si>
  <si>
    <t>2.1.4</t>
  </si>
  <si>
    <t xml:space="preserve">Nowa Wola - Budowa ul. Plonowej I etap </t>
  </si>
  <si>
    <t>2.2</t>
  </si>
  <si>
    <t>2.2.1</t>
  </si>
  <si>
    <t xml:space="preserve">Wólka Kosowska - Projekt i budowa budynków socjalnych wraz z urządzeniem terenów rekreacyjno-sportowych </t>
  </si>
  <si>
    <t>2.3</t>
  </si>
  <si>
    <t>2.3.1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</si>
  <si>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</si>
  <si>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</si>
  <si>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</si>
  <si>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</si>
  <si>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 xml:space="preserve">Wykonanie rocznych i pięcioletnich przeglądów technicznych obiektów budowlanych </t>
  </si>
  <si>
    <t xml:space="preserve">Wykonanie przeglądów serwisowych przepompowni wód deszczowych zamontowanych na terenie Gminy Lesznowola </t>
  </si>
  <si>
    <t>Prowadzenie obsługi prawnej Urzędu Gminy</t>
  </si>
  <si>
    <t>UG - ZP</t>
  </si>
  <si>
    <t xml:space="preserve">Konserwacja dźwigu osobowego </t>
  </si>
  <si>
    <t xml:space="preserve">Asysta techniczna przy eksploatacji Komputerowego Systemu Rejestracji Stanu Cywilnego </t>
  </si>
  <si>
    <t>Dzierżawa gruntu o pow. 0,3000 ha położonej w pasie drogi publicznej gminnej ul. Torowej w Nowej Iwicznej - parking dla pojazdów</t>
  </si>
  <si>
    <t>UG - RGG</t>
  </si>
  <si>
    <t xml:space="preserve">Dzierżawa gruntu o pow. 1.000 m2 pod plac zabaw w Marysinie </t>
  </si>
  <si>
    <t xml:space="preserve">Dzierżawa niezabudowanej nieruchomości (skład masy upadłości ""Tomasz Maj Gospodarstwo Ogrodnicze EKO Mysiadło"") położonej w obrębie KPGO Mysiadło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</si>
</sst>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\ MMM\ YY"/>
    <numFmt numFmtId="167" formatCode="#,##0"/>
    <numFmt numFmtId="168" formatCode="#,##0.00"/>
    <numFmt numFmtId="169" formatCode="#,##0.0000"/>
    <numFmt numFmtId="170" formatCode="D/MM/YYYY"/>
    <numFmt numFmtId="171" formatCode="0.0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u val="single"/>
      <sz val="12"/>
      <name val="Arial CE"/>
      <family val="2"/>
    </font>
    <font>
      <b/>
      <u val="single"/>
      <sz val="14"/>
      <name val="Arial CE"/>
      <family val="2"/>
    </font>
    <font>
      <sz val="12"/>
      <name val="Arial"/>
      <family val="2"/>
    </font>
    <font>
      <sz val="7"/>
      <name val="Arial CE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0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Alignment="1">
      <alignment/>
    </xf>
    <xf numFmtId="166" fontId="19" fillId="0" borderId="0" xfId="0" applyNumberFormat="1" applyFont="1" applyBorder="1" applyAlignment="1">
      <alignment horizontal="center" vertical="top" wrapText="1"/>
    </xf>
    <xf numFmtId="166" fontId="19" fillId="0" borderId="10" xfId="0" applyNumberFormat="1" applyFont="1" applyBorder="1" applyAlignment="1">
      <alignment horizontal="center" vertical="top" wrapText="1"/>
    </xf>
    <xf numFmtId="165" fontId="19" fillId="0" borderId="11" xfId="0" applyNumberFormat="1" applyFont="1" applyBorder="1" applyAlignment="1">
      <alignment horizontal="center" vertical="top" wrapText="1"/>
    </xf>
    <xf numFmtId="167" fontId="19" fillId="0" borderId="11" xfId="0" applyNumberFormat="1" applyFont="1" applyBorder="1" applyAlignment="1">
      <alignment horizontal="center" vertical="top" wrapText="1"/>
    </xf>
    <xf numFmtId="167" fontId="20" fillId="0" borderId="11" xfId="0" applyNumberFormat="1" applyFont="1" applyBorder="1" applyAlignment="1">
      <alignment horizontal="center" vertical="top" wrapText="1"/>
    </xf>
    <xf numFmtId="167" fontId="18" fillId="0" borderId="11" xfId="0" applyNumberFormat="1" applyFont="1" applyBorder="1" applyAlignment="1">
      <alignment horizontal="center" vertical="top" wrapText="1"/>
    </xf>
    <xf numFmtId="167" fontId="20" fillId="0" borderId="12" xfId="0" applyNumberFormat="1" applyFont="1" applyBorder="1" applyAlignment="1">
      <alignment horizontal="center" vertical="top" wrapText="1"/>
    </xf>
    <xf numFmtId="166" fontId="21" fillId="0" borderId="13" xfId="0" applyNumberFormat="1" applyFont="1" applyBorder="1" applyAlignment="1">
      <alignment/>
    </xf>
    <xf numFmtId="165" fontId="21" fillId="0" borderId="14" xfId="0" applyNumberFormat="1" applyFont="1" applyBorder="1" applyAlignment="1">
      <alignment horizontal="center"/>
    </xf>
    <xf numFmtId="167" fontId="21" fillId="0" borderId="14" xfId="0" applyNumberFormat="1" applyFont="1" applyBorder="1" applyAlignment="1">
      <alignment horizontal="center" vertical="top" wrapText="1"/>
    </xf>
    <xf numFmtId="167" fontId="18" fillId="0" borderId="15" xfId="0" applyNumberFormat="1" applyFont="1" applyBorder="1" applyAlignment="1">
      <alignment horizontal="center" vertical="top" wrapText="1"/>
    </xf>
    <xf numFmtId="167" fontId="18" fillId="0" borderId="14" xfId="0" applyNumberFormat="1" applyFont="1" applyBorder="1" applyAlignment="1">
      <alignment/>
    </xf>
    <xf numFmtId="166" fontId="21" fillId="0" borderId="16" xfId="0" applyNumberFormat="1" applyFont="1" applyBorder="1" applyAlignment="1">
      <alignment/>
    </xf>
    <xf numFmtId="165" fontId="21" fillId="0" borderId="17" xfId="0" applyNumberFormat="1" applyFont="1" applyBorder="1" applyAlignment="1">
      <alignment horizontal="center"/>
    </xf>
    <xf numFmtId="167" fontId="18" fillId="0" borderId="17" xfId="0" applyNumberFormat="1" applyFont="1" applyBorder="1" applyAlignment="1">
      <alignment/>
    </xf>
    <xf numFmtId="166" fontId="21" fillId="0" borderId="18" xfId="0" applyNumberFormat="1" applyFont="1" applyBorder="1" applyAlignment="1">
      <alignment/>
    </xf>
    <xf numFmtId="165" fontId="21" fillId="0" borderId="19" xfId="0" applyNumberFormat="1" applyFont="1" applyBorder="1" applyAlignment="1">
      <alignment horizontal="center"/>
    </xf>
    <xf numFmtId="167" fontId="18" fillId="0" borderId="20" xfId="0" applyNumberFormat="1" applyFont="1" applyBorder="1" applyAlignment="1">
      <alignment/>
    </xf>
    <xf numFmtId="165" fontId="21" fillId="0" borderId="15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5" fontId="21" fillId="0" borderId="21" xfId="0" applyNumberFormat="1" applyFont="1" applyBorder="1" applyAlignment="1">
      <alignment horizontal="center"/>
    </xf>
    <xf numFmtId="165" fontId="21" fillId="0" borderId="22" xfId="0" applyNumberFormat="1" applyFont="1" applyBorder="1" applyAlignment="1">
      <alignment horizontal="center"/>
    </xf>
    <xf numFmtId="167" fontId="18" fillId="0" borderId="21" xfId="0" applyNumberFormat="1" applyFont="1" applyBorder="1" applyAlignment="1">
      <alignment/>
    </xf>
    <xf numFmtId="167" fontId="18" fillId="0" borderId="15" xfId="0" applyNumberFormat="1" applyFont="1" applyBorder="1" applyAlignment="1">
      <alignment/>
    </xf>
    <xf numFmtId="166" fontId="21" fillId="22" borderId="13" xfId="0" applyNumberFormat="1" applyFont="1" applyFill="1" applyBorder="1" applyAlignment="1">
      <alignment/>
    </xf>
    <xf numFmtId="165" fontId="21" fillId="22" borderId="14" xfId="0" applyNumberFormat="1" applyFont="1" applyFill="1" applyBorder="1" applyAlignment="1">
      <alignment horizontal="center"/>
    </xf>
    <xf numFmtId="167" fontId="18" fillId="22" borderId="14" xfId="0" applyNumberFormat="1" applyFont="1" applyFill="1" applyBorder="1" applyAlignment="1">
      <alignment/>
    </xf>
    <xf numFmtId="164" fontId="0" fillId="22" borderId="0" xfId="0" applyNumberFormat="1" applyFill="1" applyAlignment="1">
      <alignment/>
    </xf>
    <xf numFmtId="164" fontId="0" fillId="22" borderId="0" xfId="0" applyFill="1" applyAlignment="1">
      <alignment/>
    </xf>
    <xf numFmtId="166" fontId="21" fillId="22" borderId="16" xfId="0" applyNumberFormat="1" applyFont="1" applyFill="1" applyBorder="1" applyAlignment="1">
      <alignment/>
    </xf>
    <xf numFmtId="165" fontId="21" fillId="22" borderId="21" xfId="0" applyNumberFormat="1" applyFont="1" applyFill="1" applyBorder="1" applyAlignment="1">
      <alignment horizontal="center"/>
    </xf>
    <xf numFmtId="167" fontId="18" fillId="22" borderId="21" xfId="0" applyNumberFormat="1" applyFont="1" applyFill="1" applyBorder="1" applyAlignment="1">
      <alignment/>
    </xf>
    <xf numFmtId="167" fontId="21" fillId="0" borderId="17" xfId="0" applyNumberFormat="1" applyFont="1" applyBorder="1" applyAlignment="1">
      <alignment horizontal="center" vertical="top" wrapText="1"/>
    </xf>
    <xf numFmtId="166" fontId="21" fillId="22" borderId="18" xfId="0" applyNumberFormat="1" applyFont="1" applyFill="1" applyBorder="1" applyAlignment="1">
      <alignment/>
    </xf>
    <xf numFmtId="165" fontId="21" fillId="22" borderId="20" xfId="0" applyNumberFormat="1" applyFont="1" applyFill="1" applyBorder="1" applyAlignment="1">
      <alignment horizontal="center"/>
    </xf>
    <xf numFmtId="167" fontId="21" fillId="22" borderId="20" xfId="0" applyNumberFormat="1" applyFont="1" applyFill="1" applyBorder="1" applyAlignment="1">
      <alignment horizontal="center" vertical="top" wrapText="1"/>
    </xf>
    <xf numFmtId="167" fontId="18" fillId="22" borderId="20" xfId="0" applyNumberFormat="1" applyFont="1" applyFill="1" applyBorder="1" applyAlignment="1">
      <alignment/>
    </xf>
    <xf numFmtId="167" fontId="21" fillId="22" borderId="14" xfId="0" applyNumberFormat="1" applyFont="1" applyFill="1" applyBorder="1" applyAlignment="1">
      <alignment horizontal="center" vertical="top" wrapText="1"/>
    </xf>
    <xf numFmtId="167" fontId="0" fillId="22" borderId="0" xfId="0" applyNumberFormat="1" applyFill="1" applyAlignment="1">
      <alignment/>
    </xf>
    <xf numFmtId="165" fontId="21" fillId="22" borderId="17" xfId="0" applyNumberFormat="1" applyFont="1" applyFill="1" applyBorder="1" applyAlignment="1">
      <alignment horizontal="center"/>
    </xf>
    <xf numFmtId="167" fontId="21" fillId="22" borderId="17" xfId="0" applyNumberFormat="1" applyFont="1" applyFill="1" applyBorder="1" applyAlignment="1">
      <alignment horizontal="center" vertical="top" wrapText="1"/>
    </xf>
    <xf numFmtId="167" fontId="18" fillId="22" borderId="17" xfId="0" applyNumberFormat="1" applyFont="1" applyFill="1" applyBorder="1" applyAlignment="1">
      <alignment/>
    </xf>
    <xf numFmtId="165" fontId="21" fillId="0" borderId="20" xfId="0" applyNumberFormat="1" applyFont="1" applyBorder="1" applyAlignment="1">
      <alignment horizontal="center"/>
    </xf>
    <xf numFmtId="167" fontId="21" fillId="0" borderId="2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7" fontId="18" fillId="0" borderId="21" xfId="0" applyNumberFormat="1" applyFont="1" applyBorder="1" applyAlignment="1">
      <alignment horizontal="center" vertical="top" wrapText="1"/>
    </xf>
    <xf numFmtId="167" fontId="18" fillId="22" borderId="21" xfId="0" applyNumberFormat="1" applyFont="1" applyFill="1" applyBorder="1" applyAlignment="1">
      <alignment horizontal="center" vertical="top" wrapText="1"/>
    </xf>
    <xf numFmtId="167" fontId="18" fillId="22" borderId="15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6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7" fontId="21" fillId="0" borderId="11" xfId="0" applyNumberFormat="1" applyFont="1" applyBorder="1" applyAlignment="1">
      <alignment horizontal="center" vertical="top" wrapText="1"/>
    </xf>
    <xf numFmtId="167" fontId="19" fillId="0" borderId="12" xfId="0" applyNumberFormat="1" applyFont="1" applyBorder="1" applyAlignment="1">
      <alignment horizontal="center" vertical="top" wrapText="1"/>
    </xf>
    <xf numFmtId="167" fontId="21" fillId="0" borderId="15" xfId="0" applyNumberFormat="1" applyFont="1" applyBorder="1" applyAlignment="1">
      <alignment horizontal="center" vertical="top" wrapText="1"/>
    </xf>
    <xf numFmtId="167" fontId="21" fillId="0" borderId="14" xfId="0" applyNumberFormat="1" applyFont="1" applyBorder="1" applyAlignment="1">
      <alignment/>
    </xf>
    <xf numFmtId="167" fontId="21" fillId="0" borderId="17" xfId="0" applyNumberFormat="1" applyFont="1" applyBorder="1" applyAlignment="1">
      <alignment/>
    </xf>
    <xf numFmtId="167" fontId="21" fillId="0" borderId="20" xfId="0" applyNumberFormat="1" applyFont="1" applyBorder="1" applyAlignment="1">
      <alignment/>
    </xf>
    <xf numFmtId="164" fontId="18" fillId="0" borderId="0" xfId="0" applyFont="1" applyFill="1" applyAlignment="1">
      <alignment/>
    </xf>
    <xf numFmtId="167" fontId="21" fillId="0" borderId="21" xfId="0" applyNumberFormat="1" applyFont="1" applyBorder="1" applyAlignment="1">
      <alignment/>
    </xf>
    <xf numFmtId="167" fontId="21" fillId="0" borderId="15" xfId="0" applyNumberFormat="1" applyFont="1" applyBorder="1" applyAlignment="1">
      <alignment/>
    </xf>
    <xf numFmtId="167" fontId="21" fillId="22" borderId="14" xfId="0" applyNumberFormat="1" applyFont="1" applyFill="1" applyBorder="1" applyAlignment="1">
      <alignment/>
    </xf>
    <xf numFmtId="167" fontId="21" fillId="22" borderId="15" xfId="0" applyNumberFormat="1" applyFont="1" applyFill="1" applyBorder="1" applyAlignment="1">
      <alignment horizontal="center" vertical="top" wrapText="1"/>
    </xf>
    <xf numFmtId="167" fontId="21" fillId="22" borderId="21" xfId="0" applyNumberFormat="1" applyFont="1" applyFill="1" applyBorder="1" applyAlignment="1">
      <alignment/>
    </xf>
    <xf numFmtId="167" fontId="21" fillId="22" borderId="20" xfId="0" applyNumberFormat="1" applyFont="1" applyFill="1" applyBorder="1" applyAlignment="1">
      <alignment/>
    </xf>
    <xf numFmtId="167" fontId="21" fillId="22" borderId="17" xfId="0" applyNumberFormat="1" applyFont="1" applyFill="1" applyBorder="1" applyAlignment="1">
      <alignment/>
    </xf>
    <xf numFmtId="166" fontId="21" fillId="0" borderId="23" xfId="0" applyNumberFormat="1" applyFont="1" applyBorder="1" applyAlignment="1">
      <alignment/>
    </xf>
    <xf numFmtId="167" fontId="21" fillId="0" borderId="22" xfId="0" applyNumberFormat="1" applyFont="1" applyBorder="1" applyAlignment="1">
      <alignment horizontal="center" vertical="top" wrapText="1"/>
    </xf>
    <xf numFmtId="167" fontId="21" fillId="0" borderId="22" xfId="0" applyNumberFormat="1" applyFont="1" applyBorder="1" applyAlignment="1">
      <alignment/>
    </xf>
    <xf numFmtId="166" fontId="21" fillId="22" borderId="24" xfId="0" applyNumberFormat="1" applyFont="1" applyFill="1" applyBorder="1" applyAlignment="1">
      <alignment/>
    </xf>
    <xf numFmtId="165" fontId="21" fillId="22" borderId="19" xfId="0" applyNumberFormat="1" applyFont="1" applyFill="1" applyBorder="1" applyAlignment="1">
      <alignment horizontal="center"/>
    </xf>
    <xf numFmtId="167" fontId="21" fillId="0" borderId="19" xfId="0" applyNumberFormat="1" applyFont="1" applyBorder="1" applyAlignment="1">
      <alignment horizontal="center" vertical="top" wrapText="1"/>
    </xf>
    <xf numFmtId="167" fontId="21" fillId="22" borderId="11" xfId="0" applyNumberFormat="1" applyFont="1" applyFill="1" applyBorder="1" applyAlignment="1">
      <alignment horizontal="center" vertical="top" wrapText="1"/>
    </xf>
    <xf numFmtId="167" fontId="21" fillId="0" borderId="19" xfId="0" applyNumberFormat="1" applyFont="1" applyBorder="1" applyAlignment="1">
      <alignment/>
    </xf>
    <xf numFmtId="167" fontId="21" fillId="22" borderId="19" xfId="0" applyNumberFormat="1" applyFont="1" applyFill="1" applyBorder="1" applyAlignment="1">
      <alignment/>
    </xf>
    <xf numFmtId="167" fontId="21" fillId="22" borderId="21" xfId="0" applyNumberFormat="1" applyFont="1" applyFill="1" applyBorder="1" applyAlignment="1">
      <alignment horizontal="center" vertical="top" wrapText="1"/>
    </xf>
    <xf numFmtId="167" fontId="21" fillId="0" borderId="21" xfId="0" applyNumberFormat="1" applyFont="1" applyBorder="1" applyAlignment="1">
      <alignment horizontal="center" vertical="top" wrapText="1"/>
    </xf>
    <xf numFmtId="167" fontId="0" fillId="0" borderId="0" xfId="0" applyNumberFormat="1" applyFill="1" applyAlignment="1">
      <alignment/>
    </xf>
    <xf numFmtId="164" fontId="0" fillId="0" borderId="0" xfId="0" applyAlignment="1">
      <alignment wrapText="1"/>
    </xf>
    <xf numFmtId="164" fontId="22" fillId="24" borderId="0" xfId="0" applyFont="1" applyFill="1" applyBorder="1" applyAlignment="1">
      <alignment vertical="center" wrapText="1"/>
    </xf>
    <xf numFmtId="164" fontId="23" fillId="24" borderId="0" xfId="0" applyFont="1" applyFill="1" applyBorder="1" applyAlignment="1">
      <alignment vertical="center"/>
    </xf>
    <xf numFmtId="164" fontId="24" fillId="0" borderId="0" xfId="0" applyFont="1" applyAlignment="1">
      <alignment vertical="center"/>
    </xf>
    <xf numFmtId="164" fontId="25" fillId="24" borderId="0" xfId="0" applyFont="1" applyFill="1" applyBorder="1" applyAlignment="1">
      <alignment vertical="center" wrapText="1"/>
    </xf>
    <xf numFmtId="164" fontId="22" fillId="24" borderId="0" xfId="0" applyFont="1" applyFill="1" applyBorder="1" applyAlignment="1">
      <alignment vertical="top" wrapText="1"/>
    </xf>
    <xf numFmtId="164" fontId="25" fillId="24" borderId="0" xfId="0" applyFont="1" applyFill="1" applyBorder="1" applyAlignment="1">
      <alignment vertical="top"/>
    </xf>
    <xf numFmtId="164" fontId="26" fillId="24" borderId="0" xfId="0" applyFont="1" applyFill="1" applyBorder="1" applyAlignment="1">
      <alignment vertical="center"/>
    </xf>
    <xf numFmtId="164" fontId="26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7" fillId="24" borderId="0" xfId="0" applyFont="1" applyFill="1" applyBorder="1" applyAlignment="1">
      <alignment vertical="top" wrapText="1"/>
    </xf>
    <xf numFmtId="164" fontId="0" fillId="24" borderId="0" xfId="0" applyFill="1" applyBorder="1" applyAlignment="1">
      <alignment vertical="top"/>
    </xf>
    <xf numFmtId="164" fontId="20" fillId="24" borderId="0" xfId="0" applyFont="1" applyFill="1" applyBorder="1" applyAlignment="1">
      <alignment vertical="center"/>
    </xf>
    <xf numFmtId="164" fontId="19" fillId="0" borderId="0" xfId="0" applyFont="1" applyAlignment="1">
      <alignment vertical="center"/>
    </xf>
    <xf numFmtId="164" fontId="28" fillId="4" borderId="25" xfId="0" applyFont="1" applyFill="1" applyBorder="1" applyAlignment="1">
      <alignment horizontal="center" vertical="center" wrapText="1"/>
    </xf>
    <xf numFmtId="164" fontId="28" fillId="4" borderId="0" xfId="0" applyFont="1" applyFill="1" applyBorder="1" applyAlignment="1">
      <alignment horizontal="center" vertical="center" wrapText="1"/>
    </xf>
    <xf numFmtId="164" fontId="0" fillId="4" borderId="0" xfId="0" applyFill="1" applyBorder="1" applyAlignment="1">
      <alignment/>
    </xf>
    <xf numFmtId="164" fontId="0" fillId="4" borderId="25" xfId="0" applyFill="1" applyBorder="1" applyAlignment="1">
      <alignment/>
    </xf>
    <xf numFmtId="164" fontId="22" fillId="22" borderId="26" xfId="0" applyFont="1" applyFill="1" applyBorder="1" applyAlignment="1">
      <alignment horizontal="center" vertical="center"/>
    </xf>
    <xf numFmtId="164" fontId="22" fillId="22" borderId="26" xfId="0" applyFont="1" applyFill="1" applyBorder="1" applyAlignment="1">
      <alignment horizontal="center" vertical="center" wrapText="1"/>
    </xf>
    <xf numFmtId="164" fontId="29" fillId="22" borderId="26" xfId="0" applyFont="1" applyFill="1" applyBorder="1" applyAlignment="1">
      <alignment horizontal="center" vertical="center" wrapText="1"/>
    </xf>
    <xf numFmtId="164" fontId="30" fillId="22" borderId="27" xfId="0" applyFont="1" applyFill="1" applyBorder="1" applyAlignment="1">
      <alignment horizontal="center" vertical="center" wrapText="1"/>
    </xf>
    <xf numFmtId="164" fontId="30" fillId="0" borderId="28" xfId="0" applyNumberFormat="1" applyFont="1" applyFill="1" applyBorder="1" applyAlignment="1">
      <alignment horizontal="center" vertical="center"/>
    </xf>
    <xf numFmtId="164" fontId="30" fillId="0" borderId="24" xfId="0" applyFont="1" applyFill="1" applyBorder="1" applyAlignment="1">
      <alignment horizontal="left" vertical="center" wrapText="1"/>
    </xf>
    <xf numFmtId="167" fontId="30" fillId="0" borderId="19" xfId="0" applyNumberFormat="1" applyFont="1" applyFill="1" applyBorder="1" applyAlignment="1">
      <alignment horizontal="center" vertical="center"/>
    </xf>
    <xf numFmtId="167" fontId="30" fillId="6" borderId="19" xfId="0" applyNumberFormat="1" applyFont="1" applyFill="1" applyBorder="1" applyAlignment="1">
      <alignment horizontal="center" vertical="center" wrapText="1"/>
    </xf>
    <xf numFmtId="167" fontId="30" fillId="0" borderId="29" xfId="0" applyNumberFormat="1" applyFont="1" applyFill="1" applyBorder="1" applyAlignment="1">
      <alignment horizontal="center" vertical="center"/>
    </xf>
    <xf numFmtId="167" fontId="30" fillId="0" borderId="30" xfId="0" applyNumberFormat="1" applyFont="1" applyFill="1" applyBorder="1" applyAlignment="1">
      <alignment horizontal="center" vertical="center"/>
    </xf>
    <xf numFmtId="164" fontId="30" fillId="0" borderId="0" xfId="0" applyFont="1" applyAlignment="1">
      <alignment/>
    </xf>
    <xf numFmtId="164" fontId="0" fillId="0" borderId="31" xfId="0" applyFont="1" applyBorder="1" applyAlignment="1">
      <alignment horizontal="center" vertical="center"/>
    </xf>
    <xf numFmtId="164" fontId="0" fillId="0" borderId="13" xfId="0" applyFont="1" applyBorder="1" applyAlignment="1">
      <alignment horizontal="left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/>
    </xf>
    <xf numFmtId="167" fontId="0" fillId="6" borderId="14" xfId="0" applyNumberFormat="1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164" fontId="31" fillId="0" borderId="13" xfId="0" applyFont="1" applyBorder="1" applyAlignment="1">
      <alignment horizontal="left" vertical="center"/>
    </xf>
    <xf numFmtId="164" fontId="0" fillId="0" borderId="14" xfId="0" applyFont="1" applyBorder="1" applyAlignment="1">
      <alignment horizontal="left" vertical="center" wrapText="1"/>
    </xf>
    <xf numFmtId="167" fontId="0" fillId="0" borderId="32" xfId="0" applyNumberFormat="1" applyFill="1" applyBorder="1" applyAlignment="1">
      <alignment horizontal="center" vertical="center"/>
    </xf>
    <xf numFmtId="167" fontId="0" fillId="0" borderId="33" xfId="0" applyNumberFormat="1" applyFill="1" applyBorder="1" applyAlignment="1">
      <alignment horizontal="center" vertical="center"/>
    </xf>
    <xf numFmtId="164" fontId="30" fillId="0" borderId="31" xfId="0" applyFont="1" applyFill="1" applyBorder="1" applyAlignment="1">
      <alignment horizontal="center" vertical="center"/>
    </xf>
    <xf numFmtId="164" fontId="30" fillId="0" borderId="13" xfId="0" applyFont="1" applyFill="1" applyBorder="1" applyAlignment="1">
      <alignment horizontal="left" vertical="center" wrapText="1"/>
    </xf>
    <xf numFmtId="167" fontId="30" fillId="0" borderId="14" xfId="0" applyNumberFormat="1" applyFont="1" applyFill="1" applyBorder="1" applyAlignment="1">
      <alignment horizontal="center" vertical="center"/>
    </xf>
    <xf numFmtId="167" fontId="30" fillId="6" borderId="14" xfId="0" applyNumberFormat="1" applyFont="1" applyFill="1" applyBorder="1" applyAlignment="1">
      <alignment horizontal="center" vertical="center" wrapText="1"/>
    </xf>
    <xf numFmtId="167" fontId="30" fillId="0" borderId="32" xfId="0" applyNumberFormat="1" applyFont="1" applyFill="1" applyBorder="1" applyAlignment="1">
      <alignment horizontal="center" vertical="center"/>
    </xf>
    <xf numFmtId="167" fontId="30" fillId="0" borderId="33" xfId="0" applyNumberFormat="1" applyFont="1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 textRotation="90"/>
    </xf>
    <xf numFmtId="167" fontId="0" fillId="0" borderId="14" xfId="0" applyNumberFormat="1" applyFon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 wrapText="1"/>
    </xf>
    <xf numFmtId="164" fontId="31" fillId="0" borderId="14" xfId="0" applyFont="1" applyBorder="1" applyAlignment="1">
      <alignment horizontal="left" vertical="center" wrapText="1"/>
    </xf>
    <xf numFmtId="167" fontId="0" fillId="6" borderId="14" xfId="0" applyNumberFormat="1" applyFont="1" applyFill="1" applyBorder="1" applyAlignment="1">
      <alignment horizontal="center" vertical="center" wrapText="1"/>
    </xf>
    <xf numFmtId="167" fontId="0" fillId="0" borderId="32" xfId="0" applyNumberFormat="1" applyFont="1" applyBorder="1" applyAlignment="1">
      <alignment horizontal="center" vertical="center" wrapText="1"/>
    </xf>
    <xf numFmtId="167" fontId="0" fillId="0" borderId="33" xfId="0" applyNumberFormat="1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30" fillId="0" borderId="31" xfId="0" applyFont="1" applyBorder="1" applyAlignment="1">
      <alignment horizontal="center" vertical="center"/>
    </xf>
    <xf numFmtId="164" fontId="30" fillId="0" borderId="13" xfId="0" applyFont="1" applyBorder="1" applyAlignment="1">
      <alignment horizontal="left" vertical="center" wrapText="1"/>
    </xf>
    <xf numFmtId="167" fontId="30" fillId="0" borderId="14" xfId="0" applyNumberFormat="1" applyFont="1" applyBorder="1" applyAlignment="1">
      <alignment horizontal="center" vertical="center"/>
    </xf>
    <xf numFmtId="167" fontId="30" fillId="0" borderId="32" xfId="0" applyNumberFormat="1" applyFont="1" applyBorder="1" applyAlignment="1">
      <alignment horizontal="center" vertical="center"/>
    </xf>
    <xf numFmtId="167" fontId="30" fillId="0" borderId="33" xfId="0" applyNumberFormat="1" applyFont="1" applyBorder="1" applyAlignment="1">
      <alignment horizontal="center" vertical="center"/>
    </xf>
    <xf numFmtId="167" fontId="30" fillId="0" borderId="14" xfId="0" applyNumberFormat="1" applyFont="1" applyBorder="1" applyAlignment="1">
      <alignment horizontal="center" vertical="center" wrapText="1"/>
    </xf>
    <xf numFmtId="167" fontId="30" fillId="0" borderId="14" xfId="0" applyNumberFormat="1" applyFont="1" applyFill="1" applyBorder="1" applyAlignment="1">
      <alignment horizontal="center" vertical="center" wrapText="1"/>
    </xf>
    <xf numFmtId="167" fontId="30" fillId="0" borderId="32" xfId="0" applyNumberFormat="1" applyFont="1" applyFill="1" applyBorder="1" applyAlignment="1">
      <alignment horizontal="center" vertical="center" wrapText="1"/>
    </xf>
    <xf numFmtId="167" fontId="30" fillId="0" borderId="33" xfId="0" applyNumberFormat="1" applyFont="1" applyFill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textRotation="90"/>
    </xf>
    <xf numFmtId="164" fontId="31" fillId="0" borderId="13" xfId="0" applyFont="1" applyBorder="1" applyAlignment="1">
      <alignment horizontal="left" vertical="center" wrapText="1"/>
    </xf>
    <xf numFmtId="167" fontId="0" fillId="0" borderId="14" xfId="0" applyNumberFormat="1" applyFont="1" applyFill="1" applyBorder="1" applyAlignment="1">
      <alignment horizontal="center" vertical="center" wrapText="1"/>
    </xf>
    <xf numFmtId="167" fontId="0" fillId="0" borderId="32" xfId="0" applyNumberFormat="1" applyFont="1" applyFill="1" applyBorder="1" applyAlignment="1">
      <alignment horizontal="center" vertical="center" wrapText="1"/>
    </xf>
    <xf numFmtId="167" fontId="0" fillId="0" borderId="33" xfId="0" applyNumberFormat="1" applyFont="1" applyFill="1" applyBorder="1" applyAlignment="1">
      <alignment horizontal="center" vertical="center" wrapText="1"/>
    </xf>
    <xf numFmtId="167" fontId="30" fillId="0" borderId="32" xfId="0" applyNumberFormat="1" applyFont="1" applyBorder="1" applyAlignment="1">
      <alignment horizontal="center" vertical="center" wrapText="1"/>
    </xf>
    <xf numFmtId="167" fontId="30" fillId="0" borderId="33" xfId="0" applyNumberFormat="1" applyFont="1" applyBorder="1" applyAlignment="1">
      <alignment horizontal="center" vertical="center" wrapText="1"/>
    </xf>
    <xf numFmtId="164" fontId="0" fillId="0" borderId="31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center" vertical="center" textRotation="90" wrapText="1"/>
    </xf>
    <xf numFmtId="164" fontId="0" fillId="0" borderId="14" xfId="0" applyFont="1" applyFill="1" applyBorder="1" applyAlignment="1">
      <alignment horizontal="left" vertical="center" wrapText="1"/>
    </xf>
    <xf numFmtId="164" fontId="31" fillId="0" borderId="34" xfId="0" applyFont="1" applyBorder="1" applyAlignment="1">
      <alignment horizontal="left" vertical="center"/>
    </xf>
    <xf numFmtId="164" fontId="0" fillId="0" borderId="35" xfId="0" applyFont="1" applyBorder="1" applyAlignment="1">
      <alignment horizontal="center" vertical="center"/>
    </xf>
    <xf numFmtId="164" fontId="31" fillId="0" borderId="35" xfId="0" applyFont="1" applyBorder="1" applyAlignment="1">
      <alignment horizontal="left" vertical="center"/>
    </xf>
    <xf numFmtId="164" fontId="0" fillId="0" borderId="35" xfId="0" applyFont="1" applyBorder="1" applyAlignment="1">
      <alignment horizontal="left" vertical="center" wrapText="1"/>
    </xf>
    <xf numFmtId="167" fontId="0" fillId="0" borderId="35" xfId="0" applyNumberFormat="1" applyFont="1" applyBorder="1" applyAlignment="1">
      <alignment horizontal="center" vertical="center" wrapText="1"/>
    </xf>
    <xf numFmtId="167" fontId="0" fillId="0" borderId="35" xfId="0" applyNumberFormat="1" applyBorder="1" applyAlignment="1">
      <alignment horizontal="center" vertical="center"/>
    </xf>
    <xf numFmtId="167" fontId="0" fillId="6" borderId="35" xfId="0" applyNumberFormat="1" applyFont="1" applyFill="1" applyBorder="1" applyAlignment="1">
      <alignment horizontal="center" vertical="center" wrapText="1"/>
    </xf>
    <xf numFmtId="167" fontId="0" fillId="0" borderId="35" xfId="0" applyNumberForma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167" fontId="0" fillId="6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164" fontId="30" fillId="0" borderId="36" xfId="0" applyFont="1" applyBorder="1" applyAlignment="1">
      <alignment horizontal="center" vertical="center"/>
    </xf>
    <xf numFmtId="167" fontId="30" fillId="0" borderId="22" xfId="0" applyNumberFormat="1" applyFont="1" applyBorder="1" applyAlignment="1">
      <alignment horizontal="center" vertical="center"/>
    </xf>
    <xf numFmtId="167" fontId="30" fillId="0" borderId="22" xfId="0" applyNumberFormat="1" applyFont="1" applyFill="1" applyBorder="1" applyAlignment="1">
      <alignment horizontal="center" vertical="center"/>
    </xf>
    <xf numFmtId="167" fontId="30" fillId="0" borderId="37" xfId="0" applyNumberFormat="1" applyFont="1" applyBorder="1" applyAlignment="1">
      <alignment horizontal="center" vertical="center"/>
    </xf>
    <xf numFmtId="167" fontId="30" fillId="0" borderId="38" xfId="0" applyNumberFormat="1" applyFont="1" applyBorder="1" applyAlignment="1">
      <alignment horizontal="center" vertical="center"/>
    </xf>
    <xf numFmtId="164" fontId="18" fillId="0" borderId="32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/>
    </xf>
    <xf numFmtId="164" fontId="30" fillId="22" borderId="31" xfId="0" applyFont="1" applyFill="1" applyBorder="1" applyAlignment="1">
      <alignment horizontal="center" vertical="center"/>
    </xf>
    <xf numFmtId="164" fontId="30" fillId="22" borderId="13" xfId="0" applyFont="1" applyFill="1" applyBorder="1" applyAlignment="1">
      <alignment horizontal="left" vertical="center" wrapText="1"/>
    </xf>
    <xf numFmtId="167" fontId="30" fillId="22" borderId="14" xfId="0" applyNumberFormat="1" applyFont="1" applyFill="1" applyBorder="1" applyAlignment="1">
      <alignment horizontal="center" vertical="center"/>
    </xf>
    <xf numFmtId="167" fontId="30" fillId="22" borderId="14" xfId="0" applyNumberFormat="1" applyFont="1" applyFill="1" applyBorder="1" applyAlignment="1">
      <alignment horizontal="center" vertical="center" wrapText="1"/>
    </xf>
    <xf numFmtId="167" fontId="30" fillId="22" borderId="32" xfId="0" applyNumberFormat="1" applyFont="1" applyFill="1" applyBorder="1" applyAlignment="1">
      <alignment horizontal="center" vertical="center"/>
    </xf>
    <xf numFmtId="167" fontId="30" fillId="22" borderId="33" xfId="0" applyNumberFormat="1" applyFont="1" applyFill="1" applyBorder="1" applyAlignment="1">
      <alignment horizontal="center" vertical="center"/>
    </xf>
    <xf numFmtId="164" fontId="30" fillId="0" borderId="13" xfId="0" applyFont="1" applyBorder="1" applyAlignment="1">
      <alignment horizontal="center" vertical="center"/>
    </xf>
    <xf numFmtId="164" fontId="30" fillId="0" borderId="14" xfId="0" applyFont="1" applyBorder="1" applyAlignment="1">
      <alignment horizontal="left" vertical="center"/>
    </xf>
    <xf numFmtId="167" fontId="30" fillId="0" borderId="0" xfId="0" applyNumberFormat="1" applyFont="1" applyAlignment="1">
      <alignment horizontal="center" vertical="center" wrapText="1"/>
    </xf>
    <xf numFmtId="164" fontId="0" fillId="0" borderId="13" xfId="0" applyBorder="1" applyAlignment="1">
      <alignment horizontal="center" vertical="center"/>
    </xf>
    <xf numFmtId="164" fontId="0" fillId="0" borderId="14" xfId="0" applyFont="1" applyBorder="1" applyAlignment="1">
      <alignment horizontal="center" vertical="center" textRotation="90"/>
    </xf>
    <xf numFmtId="164" fontId="32" fillId="0" borderId="14" xfId="0" applyFont="1" applyBorder="1" applyAlignment="1">
      <alignment horizontal="left" vertical="center" wrapText="1"/>
    </xf>
    <xf numFmtId="167" fontId="30" fillId="6" borderId="14" xfId="0" applyNumberFormat="1" applyFont="1" applyFill="1" applyBorder="1" applyAlignment="1">
      <alignment horizontal="center" vertical="center"/>
    </xf>
    <xf numFmtId="164" fontId="30" fillId="0" borderId="14" xfId="0" applyFont="1" applyBorder="1" applyAlignment="1">
      <alignment horizontal="left" vertical="center" wrapText="1"/>
    </xf>
    <xf numFmtId="168" fontId="30" fillId="0" borderId="14" xfId="0" applyNumberFormat="1" applyFont="1" applyBorder="1" applyAlignment="1">
      <alignment horizontal="center" vertical="center" wrapText="1"/>
    </xf>
    <xf numFmtId="168" fontId="30" fillId="6" borderId="14" xfId="0" applyNumberFormat="1" applyFont="1" applyFill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center" vertical="center" wrapText="1"/>
    </xf>
    <xf numFmtId="168" fontId="30" fillId="0" borderId="22" xfId="0" applyNumberFormat="1" applyFont="1" applyBorder="1" applyAlignment="1">
      <alignment horizontal="center" vertical="center" wrapText="1"/>
    </xf>
    <xf numFmtId="164" fontId="30" fillId="0" borderId="23" xfId="0" applyFont="1" applyBorder="1" applyAlignment="1">
      <alignment horizontal="center" vertical="center"/>
    </xf>
    <xf numFmtId="169" fontId="30" fillId="24" borderId="22" xfId="0" applyNumberFormat="1" applyFont="1" applyFill="1" applyBorder="1" applyAlignment="1">
      <alignment horizontal="center" vertical="center" wrapText="1"/>
    </xf>
    <xf numFmtId="169" fontId="30" fillId="6" borderId="22" xfId="0" applyNumberFormat="1" applyFont="1" applyFill="1" applyBorder="1" applyAlignment="1">
      <alignment horizontal="center" vertical="center" wrapText="1"/>
    </xf>
    <xf numFmtId="169" fontId="30" fillId="0" borderId="14" xfId="0" applyNumberFormat="1" applyFont="1" applyBorder="1" applyAlignment="1">
      <alignment horizontal="center" vertical="center" wrapText="1"/>
    </xf>
    <xf numFmtId="169" fontId="30" fillId="6" borderId="14" xfId="0" applyNumberFormat="1" applyFont="1" applyFill="1" applyBorder="1" applyAlignment="1">
      <alignment horizontal="center" vertical="center" wrapText="1"/>
    </xf>
    <xf numFmtId="167" fontId="30" fillId="0" borderId="22" xfId="0" applyNumberFormat="1" applyFont="1" applyBorder="1" applyAlignment="1">
      <alignment horizontal="center" vertical="center" wrapText="1"/>
    </xf>
    <xf numFmtId="167" fontId="30" fillId="6" borderId="22" xfId="0" applyNumberFormat="1" applyFont="1" applyFill="1" applyBorder="1" applyAlignment="1">
      <alignment horizontal="center" vertical="center" wrapText="1"/>
    </xf>
    <xf numFmtId="164" fontId="30" fillId="0" borderId="16" xfId="0" applyFont="1" applyBorder="1" applyAlignment="1">
      <alignment horizontal="center" vertical="center"/>
    </xf>
    <xf numFmtId="164" fontId="30" fillId="0" borderId="17" xfId="0" applyFont="1" applyBorder="1" applyAlignment="1">
      <alignment horizontal="left" vertical="center" wrapText="1"/>
    </xf>
    <xf numFmtId="167" fontId="30" fillId="0" borderId="17" xfId="0" applyNumberFormat="1" applyFont="1" applyBorder="1" applyAlignment="1">
      <alignment horizontal="center" vertical="center" wrapText="1"/>
    </xf>
    <xf numFmtId="167" fontId="30" fillId="6" borderId="17" xfId="0" applyNumberFormat="1" applyFont="1" applyFill="1" applyBorder="1" applyAlignment="1">
      <alignment horizontal="center" vertical="center" wrapText="1"/>
    </xf>
    <xf numFmtId="164" fontId="30" fillId="0" borderId="39" xfId="0" applyFont="1" applyFill="1" applyBorder="1" applyAlignment="1">
      <alignment horizontal="center" vertical="center"/>
    </xf>
    <xf numFmtId="164" fontId="0" fillId="0" borderId="39" xfId="0" applyBorder="1" applyAlignment="1">
      <alignment/>
    </xf>
    <xf numFmtId="167" fontId="0" fillId="0" borderId="0" xfId="0" applyNumberFormat="1" applyAlignment="1">
      <alignment wrapText="1"/>
    </xf>
    <xf numFmtId="164" fontId="33" fillId="24" borderId="0" xfId="0" applyFont="1" applyFill="1" applyBorder="1" applyAlignment="1">
      <alignment horizontal="right" vertical="top" wrapText="1"/>
    </xf>
    <xf numFmtId="164" fontId="0" fillId="24" borderId="0" xfId="0" applyFill="1" applyBorder="1" applyAlignment="1">
      <alignment horizontal="right" vertical="top" wrapText="1"/>
    </xf>
    <xf numFmtId="164" fontId="28" fillId="4" borderId="25" xfId="0" applyFont="1" applyFill="1" applyBorder="1" applyAlignment="1">
      <alignment horizontal="center" vertical="top"/>
    </xf>
    <xf numFmtId="164" fontId="22" fillId="22" borderId="10" xfId="0" applyFont="1" applyFill="1" applyBorder="1" applyAlignment="1">
      <alignment horizontal="center" vertical="center"/>
    </xf>
    <xf numFmtId="164" fontId="27" fillId="22" borderId="11" xfId="0" applyFont="1" applyFill="1" applyBorder="1" applyAlignment="1">
      <alignment horizontal="center" vertical="center"/>
    </xf>
    <xf numFmtId="164" fontId="22" fillId="22" borderId="30" xfId="0" applyFont="1" applyFill="1" applyBorder="1" applyAlignment="1">
      <alignment horizontal="center" vertical="center"/>
    </xf>
    <xf numFmtId="164" fontId="22" fillId="22" borderId="14" xfId="0" applyFont="1" applyFill="1" applyBorder="1" applyAlignment="1">
      <alignment horizontal="center" vertical="center"/>
    </xf>
    <xf numFmtId="167" fontId="22" fillId="22" borderId="17" xfId="0" applyNumberFormat="1" applyFont="1" applyFill="1" applyBorder="1" applyAlignment="1">
      <alignment horizontal="center" vertical="center" wrapText="1"/>
    </xf>
    <xf numFmtId="164" fontId="22" fillId="22" borderId="33" xfId="0" applyFont="1" applyFill="1" applyBorder="1" applyAlignment="1">
      <alignment horizontal="center" vertical="center"/>
    </xf>
    <xf numFmtId="164" fontId="22" fillId="22" borderId="17" xfId="0" applyNumberFormat="1" applyFont="1" applyFill="1" applyBorder="1" applyAlignment="1">
      <alignment horizontal="center" vertical="center"/>
    </xf>
    <xf numFmtId="164" fontId="22" fillId="22" borderId="40" xfId="0" applyNumberFormat="1" applyFont="1" applyFill="1" applyBorder="1" applyAlignment="1">
      <alignment horizontal="center" vertical="center"/>
    </xf>
    <xf numFmtId="164" fontId="30" fillId="0" borderId="24" xfId="0" applyFont="1" applyBorder="1" applyAlignment="1">
      <alignment horizontal="center" vertical="center"/>
    </xf>
    <xf numFmtId="164" fontId="30" fillId="0" borderId="19" xfId="0" applyFont="1" applyBorder="1" applyAlignment="1">
      <alignment horizontal="left" vertical="center" wrapText="1"/>
    </xf>
    <xf numFmtId="167" fontId="30" fillId="0" borderId="19" xfId="0" applyNumberFormat="1" applyFont="1" applyBorder="1" applyAlignment="1">
      <alignment horizontal="center" vertical="center"/>
    </xf>
    <xf numFmtId="167" fontId="30" fillId="0" borderId="30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0" fillId="22" borderId="13" xfId="0" applyFont="1" applyFill="1" applyBorder="1" applyAlignment="1">
      <alignment horizontal="center" vertical="center"/>
    </xf>
    <xf numFmtId="164" fontId="0" fillId="22" borderId="14" xfId="0" applyFont="1" applyFill="1" applyBorder="1" applyAlignment="1">
      <alignment horizontal="left" vertical="center" wrapText="1"/>
    </xf>
    <xf numFmtId="167" fontId="0" fillId="22" borderId="14" xfId="0" applyNumberFormat="1" applyFill="1" applyBorder="1" applyAlignment="1">
      <alignment horizontal="center" vertical="center"/>
    </xf>
    <xf numFmtId="169" fontId="0" fillId="22" borderId="14" xfId="0" applyNumberFormat="1" applyFill="1" applyBorder="1" applyAlignment="1">
      <alignment horizontal="center" vertical="center"/>
    </xf>
    <xf numFmtId="169" fontId="0" fillId="22" borderId="33" xfId="0" applyNumberFormat="1" applyFill="1" applyBorder="1" applyAlignment="1">
      <alignment horizontal="center" vertical="center"/>
    </xf>
    <xf numFmtId="167" fontId="0" fillId="22" borderId="14" xfId="0" applyNumberFormat="1" applyFont="1" applyFill="1" applyBorder="1" applyAlignment="1">
      <alignment horizontal="center" vertical="center"/>
    </xf>
    <xf numFmtId="164" fontId="0" fillId="22" borderId="32" xfId="0" applyFont="1" applyFill="1" applyBorder="1" applyAlignment="1">
      <alignment horizontal="left" vertical="center" wrapText="1"/>
    </xf>
    <xf numFmtId="164" fontId="30" fillId="22" borderId="14" xfId="0" applyFont="1" applyFill="1" applyBorder="1" applyAlignment="1">
      <alignment horizontal="left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7" fontId="34" fillId="0" borderId="14" xfId="0" applyNumberFormat="1" applyFont="1" applyBorder="1" applyAlignment="1">
      <alignment horizontal="center" vertical="center"/>
    </xf>
    <xf numFmtId="167" fontId="32" fillId="0" borderId="14" xfId="0" applyNumberFormat="1" applyFont="1" applyBorder="1" applyAlignment="1">
      <alignment horizontal="center" vertical="center"/>
    </xf>
    <xf numFmtId="167" fontId="0" fillId="0" borderId="33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7" fontId="0" fillId="24" borderId="14" xfId="0" applyNumberFormat="1" applyFill="1" applyBorder="1" applyAlignment="1">
      <alignment horizontal="center" vertical="center" wrapText="1"/>
    </xf>
    <xf numFmtId="164" fontId="0" fillId="22" borderId="16" xfId="0" applyFont="1" applyFill="1" applyBorder="1" applyAlignment="1">
      <alignment horizontal="center" vertical="center"/>
    </xf>
    <xf numFmtId="164" fontId="0" fillId="22" borderId="17" xfId="0" applyFont="1" applyFill="1" applyBorder="1" applyAlignment="1">
      <alignment horizontal="left" vertical="center" wrapText="1"/>
    </xf>
    <xf numFmtId="168" fontId="0" fillId="22" borderId="17" xfId="0" applyNumberFormat="1" applyFill="1" applyBorder="1" applyAlignment="1">
      <alignment horizontal="center" vertical="center"/>
    </xf>
    <xf numFmtId="168" fontId="0" fillId="22" borderId="40" xfId="0" applyNumberForma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3" fillId="4" borderId="0" xfId="0" applyFont="1" applyFill="1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23" fillId="0" borderId="0" xfId="0" applyFont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vertical="center"/>
    </xf>
    <xf numFmtId="164" fontId="27" fillId="4" borderId="0" xfId="0" applyFont="1" applyFill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28" fillId="4" borderId="41" xfId="0" applyFont="1" applyFill="1" applyBorder="1" applyAlignment="1">
      <alignment horizontal="center" vertical="center"/>
    </xf>
    <xf numFmtId="164" fontId="30" fillId="22" borderId="42" xfId="0" applyFont="1" applyFill="1" applyBorder="1" applyAlignment="1">
      <alignment horizontal="center" vertical="center"/>
    </xf>
    <xf numFmtId="164" fontId="30" fillId="22" borderId="43" xfId="0" applyFont="1" applyFill="1" applyBorder="1" applyAlignment="1">
      <alignment horizontal="center" vertical="center"/>
    </xf>
    <xf numFmtId="164" fontId="35" fillId="22" borderId="26" xfId="0" applyFont="1" applyFill="1" applyBorder="1" applyAlignment="1">
      <alignment horizontal="center" vertical="center" wrapText="1"/>
    </xf>
    <xf numFmtId="164" fontId="30" fillId="22" borderId="26" xfId="0" applyFont="1" applyFill="1" applyBorder="1" applyAlignment="1">
      <alignment horizontal="center" vertical="center" wrapText="1"/>
    </xf>
    <xf numFmtId="164" fontId="30" fillId="4" borderId="24" xfId="0" applyFont="1" applyFill="1" applyBorder="1" applyAlignment="1">
      <alignment horizontal="center" vertical="center"/>
    </xf>
    <xf numFmtId="164" fontId="22" fillId="4" borderId="44" xfId="0" applyFont="1" applyFill="1" applyBorder="1" applyAlignment="1">
      <alignment horizontal="left" vertical="center" wrapText="1"/>
    </xf>
    <xf numFmtId="164" fontId="25" fillId="4" borderId="20" xfId="0" applyFont="1" applyFill="1" applyBorder="1" applyAlignment="1">
      <alignment horizontal="center" vertical="center" wrapText="1"/>
    </xf>
    <xf numFmtId="167" fontId="22" fillId="4" borderId="20" xfId="0" applyNumberFormat="1" applyFont="1" applyFill="1" applyBorder="1" applyAlignment="1">
      <alignment horizontal="center" vertical="center" wrapText="1"/>
    </xf>
    <xf numFmtId="167" fontId="30" fillId="4" borderId="20" xfId="0" applyNumberFormat="1" applyFont="1" applyFill="1" applyBorder="1" applyAlignment="1">
      <alignment horizontal="center" vertical="center" wrapText="1"/>
    </xf>
    <xf numFmtId="164" fontId="22" fillId="4" borderId="20" xfId="0" applyFont="1" applyFill="1" applyBorder="1" applyAlignment="1">
      <alignment horizontal="center" vertical="center" wrapText="1"/>
    </xf>
    <xf numFmtId="167" fontId="22" fillId="4" borderId="20" xfId="0" applyNumberFormat="1" applyFont="1" applyFill="1" applyBorder="1" applyAlignment="1">
      <alignment horizontal="center" vertical="center"/>
    </xf>
    <xf numFmtId="164" fontId="36" fillId="0" borderId="13" xfId="0" applyFont="1" applyBorder="1" applyAlignment="1">
      <alignment horizontal="center" vertical="center"/>
    </xf>
    <xf numFmtId="164" fontId="37" fillId="0" borderId="45" xfId="0" applyFont="1" applyBorder="1" applyAlignment="1">
      <alignment horizontal="left" vertical="center" wrapText="1"/>
    </xf>
    <xf numFmtId="164" fontId="25" fillId="0" borderId="14" xfId="0" applyFont="1" applyBorder="1" applyAlignment="1">
      <alignment horizontal="center" vertical="center" wrapText="1"/>
    </xf>
    <xf numFmtId="167" fontId="36" fillId="0" borderId="14" xfId="0" applyNumberFormat="1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7" fontId="36" fillId="0" borderId="14" xfId="0" applyNumberFormat="1" applyFont="1" applyBorder="1" applyAlignment="1">
      <alignment horizontal="center" vertical="center"/>
    </xf>
    <xf numFmtId="164" fontId="36" fillId="0" borderId="0" xfId="0" applyFont="1" applyAlignment="1">
      <alignment/>
    </xf>
    <xf numFmtId="164" fontId="36" fillId="0" borderId="0" xfId="0" applyFont="1" applyAlignment="1">
      <alignment vertical="center"/>
    </xf>
    <xf numFmtId="164" fontId="30" fillId="4" borderId="13" xfId="0" applyFont="1" applyFill="1" applyBorder="1" applyAlignment="1">
      <alignment horizontal="center" vertical="center"/>
    </xf>
    <xf numFmtId="164" fontId="22" fillId="4" borderId="45" xfId="0" applyFont="1" applyFill="1" applyBorder="1" applyAlignment="1">
      <alignment horizontal="left" vertical="center" wrapText="1"/>
    </xf>
    <xf numFmtId="164" fontId="25" fillId="4" borderId="14" xfId="0" applyFont="1" applyFill="1" applyBorder="1" applyAlignment="1">
      <alignment horizontal="center" vertical="center" wrapText="1"/>
    </xf>
    <xf numFmtId="167" fontId="22" fillId="4" borderId="14" xfId="0" applyNumberFormat="1" applyFont="1" applyFill="1" applyBorder="1" applyAlignment="1">
      <alignment horizontal="center" vertical="center" wrapText="1"/>
    </xf>
    <xf numFmtId="167" fontId="30" fillId="4" borderId="14" xfId="0" applyNumberFormat="1" applyFont="1" applyFill="1" applyBorder="1" applyAlignment="1">
      <alignment horizontal="center" vertical="center" wrapText="1"/>
    </xf>
    <xf numFmtId="167" fontId="22" fillId="4" borderId="14" xfId="0" applyNumberFormat="1" applyFont="1" applyFill="1" applyBorder="1" applyAlignment="1">
      <alignment horizontal="center" vertical="center"/>
    </xf>
    <xf numFmtId="164" fontId="30" fillId="0" borderId="0" xfId="0" applyFont="1" applyFill="1" applyAlignment="1">
      <alignment/>
    </xf>
    <xf numFmtId="167" fontId="36" fillId="0" borderId="32" xfId="0" applyNumberFormat="1" applyFont="1" applyBorder="1" applyAlignment="1">
      <alignment horizontal="center" vertical="center"/>
    </xf>
    <xf numFmtId="164" fontId="36" fillId="0" borderId="0" xfId="0" applyFont="1" applyBorder="1" applyAlignment="1">
      <alignment/>
    </xf>
    <xf numFmtId="167" fontId="22" fillId="4" borderId="32" xfId="0" applyNumberFormat="1" applyFont="1" applyFill="1" applyBorder="1" applyAlignment="1">
      <alignment horizontal="center" vertical="center"/>
    </xf>
    <xf numFmtId="164" fontId="0" fillId="24" borderId="0" xfId="0" applyFill="1" applyBorder="1" applyAlignment="1">
      <alignment/>
    </xf>
    <xf numFmtId="164" fontId="0" fillId="24" borderId="0" xfId="0" applyFill="1" applyAlignment="1">
      <alignment/>
    </xf>
    <xf numFmtId="164" fontId="0" fillId="6" borderId="0" xfId="0" applyFill="1" applyAlignment="1">
      <alignment/>
    </xf>
    <xf numFmtId="170" fontId="38" fillId="0" borderId="13" xfId="0" applyNumberFormat="1" applyFont="1" applyBorder="1" applyAlignment="1">
      <alignment horizontal="center" vertical="center"/>
    </xf>
    <xf numFmtId="164" fontId="39" fillId="0" borderId="45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7" fontId="39" fillId="0" borderId="14" xfId="0" applyNumberFormat="1" applyFont="1" applyBorder="1" applyAlignment="1">
      <alignment horizontal="center" vertical="center" wrapText="1"/>
    </xf>
    <xf numFmtId="164" fontId="39" fillId="0" borderId="14" xfId="0" applyFont="1" applyBorder="1" applyAlignment="1">
      <alignment horizontal="center" vertical="center" wrapText="1"/>
    </xf>
    <xf numFmtId="167" fontId="39" fillId="0" borderId="14" xfId="0" applyNumberFormat="1" applyFont="1" applyBorder="1" applyAlignment="1">
      <alignment horizontal="center" vertical="center"/>
    </xf>
    <xf numFmtId="164" fontId="38" fillId="0" borderId="0" xfId="0" applyFont="1" applyAlignment="1">
      <alignment/>
    </xf>
    <xf numFmtId="164" fontId="0" fillId="0" borderId="13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left" vertical="center" wrapText="1"/>
    </xf>
    <xf numFmtId="164" fontId="18" fillId="0" borderId="22" xfId="0" applyFont="1" applyFill="1" applyBorder="1" applyAlignment="1">
      <alignment horizontal="center" vertical="center" wrapText="1"/>
    </xf>
    <xf numFmtId="164" fontId="36" fillId="0" borderId="14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164" fontId="18" fillId="0" borderId="46" xfId="0" applyFont="1" applyFill="1" applyBorder="1" applyAlignment="1">
      <alignment horizontal="center" vertical="center" wrapText="1"/>
    </xf>
    <xf numFmtId="164" fontId="0" fillId="0" borderId="46" xfId="0" applyFont="1" applyFill="1" applyBorder="1" applyAlignment="1">
      <alignment horizontal="center" vertical="center" wrapText="1"/>
    </xf>
    <xf numFmtId="167" fontId="0" fillId="0" borderId="46" xfId="0" applyNumberFormat="1" applyFont="1" applyFill="1" applyBorder="1" applyAlignment="1">
      <alignment horizontal="center" vertical="center" wrapText="1"/>
    </xf>
    <xf numFmtId="167" fontId="36" fillId="0" borderId="46" xfId="0" applyNumberFormat="1" applyFont="1" applyFill="1" applyBorder="1" applyAlignment="1">
      <alignment horizontal="center" vertical="center" wrapText="1"/>
    </xf>
    <xf numFmtId="164" fontId="36" fillId="0" borderId="46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left" vertical="center" wrapText="1"/>
    </xf>
    <xf numFmtId="164" fontId="18" fillId="0" borderId="47" xfId="0" applyFont="1" applyFill="1" applyBorder="1" applyAlignment="1">
      <alignment horizontal="center" vertical="center" wrapText="1"/>
    </xf>
    <xf numFmtId="164" fontId="0" fillId="0" borderId="47" xfId="0" applyFont="1" applyFill="1" applyBorder="1" applyAlignment="1">
      <alignment horizontal="center" vertical="center" wrapText="1"/>
    </xf>
    <xf numFmtId="167" fontId="0" fillId="0" borderId="47" xfId="0" applyNumberFormat="1" applyFont="1" applyFill="1" applyBorder="1" applyAlignment="1">
      <alignment horizontal="center" vertical="center" wrapText="1"/>
    </xf>
    <xf numFmtId="167" fontId="36" fillId="0" borderId="47" xfId="0" applyNumberFormat="1" applyFont="1" applyFill="1" applyBorder="1" applyAlignment="1">
      <alignment horizontal="center" vertical="center" wrapText="1"/>
    </xf>
    <xf numFmtId="164" fontId="36" fillId="0" borderId="47" xfId="0" applyFont="1" applyFill="1" applyBorder="1" applyAlignment="1">
      <alignment horizontal="center" vertical="center" wrapText="1"/>
    </xf>
    <xf numFmtId="164" fontId="0" fillId="0" borderId="45" xfId="0" applyFont="1" applyFill="1" applyBorder="1" applyAlignment="1">
      <alignment horizontal="left" vertical="center" wrapText="1"/>
    </xf>
    <xf numFmtId="164" fontId="18" fillId="0" borderId="48" xfId="0" applyFont="1" applyFill="1" applyBorder="1" applyAlignment="1">
      <alignment horizontal="center" vertical="center" wrapText="1"/>
    </xf>
    <xf numFmtId="164" fontId="0" fillId="0" borderId="48" xfId="0" applyFont="1" applyFill="1" applyBorder="1" applyAlignment="1">
      <alignment horizontal="center" vertical="center" wrapText="1"/>
    </xf>
    <xf numFmtId="167" fontId="0" fillId="0" borderId="48" xfId="0" applyNumberFormat="1" applyFont="1" applyFill="1" applyBorder="1" applyAlignment="1">
      <alignment horizontal="center" vertical="center" wrapText="1"/>
    </xf>
    <xf numFmtId="167" fontId="36" fillId="0" borderId="48" xfId="0" applyNumberFormat="1" applyFont="1" applyFill="1" applyBorder="1" applyAlignment="1">
      <alignment horizontal="center" vertical="center" wrapText="1"/>
    </xf>
    <xf numFmtId="164" fontId="36" fillId="0" borderId="48" xfId="0" applyFont="1" applyFill="1" applyBorder="1" applyAlignment="1">
      <alignment horizontal="center" vertical="center" wrapText="1"/>
    </xf>
    <xf numFmtId="164" fontId="0" fillId="0" borderId="49" xfId="0" applyFont="1" applyFill="1" applyBorder="1" applyAlignment="1">
      <alignment horizontal="left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32" xfId="0" applyFont="1" applyFill="1" applyBorder="1" applyAlignment="1">
      <alignment horizontal="center" vertical="center" wrapText="1"/>
    </xf>
    <xf numFmtId="164" fontId="0" fillId="0" borderId="50" xfId="0" applyFont="1" applyFill="1" applyBorder="1" applyAlignment="1">
      <alignment horizontal="center" vertical="center" wrapText="1"/>
    </xf>
    <xf numFmtId="164" fontId="0" fillId="0" borderId="45" xfId="0" applyFont="1" applyFill="1" applyBorder="1" applyAlignment="1">
      <alignment horizontal="center" vertical="center" wrapText="1"/>
    </xf>
    <xf numFmtId="164" fontId="25" fillId="0" borderId="45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 wrapText="1"/>
    </xf>
    <xf numFmtId="170" fontId="30" fillId="0" borderId="13" xfId="0" applyNumberFormat="1" applyFont="1" applyFill="1" applyBorder="1" applyAlignment="1">
      <alignment horizontal="center" vertical="center"/>
    </xf>
    <xf numFmtId="164" fontId="22" fillId="0" borderId="45" xfId="0" applyFont="1" applyFill="1" applyBorder="1" applyAlignment="1">
      <alignment horizontal="left" vertical="center" wrapText="1"/>
    </xf>
    <xf numFmtId="164" fontId="22" fillId="0" borderId="14" xfId="0" applyFont="1" applyFill="1" applyBorder="1" applyAlignment="1">
      <alignment horizontal="center" vertical="center" wrapText="1"/>
    </xf>
    <xf numFmtId="167" fontId="22" fillId="0" borderId="14" xfId="0" applyNumberFormat="1" applyFont="1" applyFill="1" applyBorder="1" applyAlignment="1">
      <alignment horizontal="center" vertical="center" wrapText="1"/>
    </xf>
    <xf numFmtId="164" fontId="39" fillId="0" borderId="14" xfId="0" applyFont="1" applyFill="1" applyBorder="1" applyAlignment="1">
      <alignment horizontal="center" vertical="center" wrapText="1"/>
    </xf>
    <xf numFmtId="167" fontId="30" fillId="0" borderId="0" xfId="0" applyNumberFormat="1" applyFont="1" applyFill="1" applyAlignment="1">
      <alignment/>
    </xf>
    <xf numFmtId="164" fontId="0" fillId="0" borderId="49" xfId="0" applyFont="1" applyFill="1" applyBorder="1" applyAlignment="1">
      <alignment horizontal="center" vertical="center" wrapText="1"/>
    </xf>
    <xf numFmtId="167" fontId="0" fillId="0" borderId="22" xfId="0" applyNumberFormat="1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0" fillId="0" borderId="13" xfId="0" applyFont="1" applyFill="1" applyBorder="1" applyAlignment="1">
      <alignment horizontal="center" vertical="center"/>
    </xf>
    <xf numFmtId="171" fontId="39" fillId="0" borderId="45" xfId="0" applyNumberFormat="1" applyFont="1" applyFill="1" applyBorder="1" applyAlignment="1">
      <alignment horizontal="left" vertical="center" wrapText="1"/>
    </xf>
    <xf numFmtId="167" fontId="34" fillId="0" borderId="14" xfId="0" applyNumberFormat="1" applyFont="1" applyFill="1" applyBorder="1" applyAlignment="1">
      <alignment horizontal="center" vertical="center" wrapText="1"/>
    </xf>
    <xf numFmtId="164" fontId="0" fillId="0" borderId="23" xfId="0" applyFont="1" applyFill="1" applyBorder="1" applyAlignment="1">
      <alignment horizontal="center" vertical="center"/>
    </xf>
    <xf numFmtId="167" fontId="36" fillId="0" borderId="22" xfId="0" applyNumberFormat="1" applyFont="1" applyFill="1" applyBorder="1" applyAlignment="1">
      <alignment horizontal="center" vertical="center" wrapText="1"/>
    </xf>
    <xf numFmtId="167" fontId="38" fillId="0" borderId="22" xfId="0" applyNumberFormat="1" applyFont="1" applyBorder="1" applyAlignment="1">
      <alignment horizontal="center" vertical="center"/>
    </xf>
    <xf numFmtId="164" fontId="0" fillId="0" borderId="42" xfId="0" applyFont="1" applyFill="1" applyBorder="1" applyAlignment="1">
      <alignment horizontal="center" vertical="center"/>
    </xf>
    <xf numFmtId="164" fontId="0" fillId="0" borderId="51" xfId="0" applyFont="1" applyFill="1" applyBorder="1" applyAlignment="1">
      <alignment horizontal="right" vertical="center" wrapText="1"/>
    </xf>
    <xf numFmtId="164" fontId="18" fillId="0" borderId="19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7" fontId="0" fillId="0" borderId="19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164" fontId="36" fillId="0" borderId="19" xfId="0" applyFont="1" applyFill="1" applyBorder="1" applyAlignment="1">
      <alignment horizontal="center" vertical="center" wrapText="1"/>
    </xf>
    <xf numFmtId="167" fontId="36" fillId="0" borderId="52" xfId="0" applyNumberFormat="1" applyFont="1" applyBorder="1" applyAlignment="1">
      <alignment horizontal="center" vertical="center"/>
    </xf>
    <xf numFmtId="164" fontId="0" fillId="0" borderId="53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right" vertical="center" wrapText="1"/>
    </xf>
    <xf numFmtId="164" fontId="18" fillId="0" borderId="14" xfId="0" applyFont="1" applyFill="1" applyBorder="1" applyAlignment="1">
      <alignment horizontal="center" vertical="center" wrapText="1"/>
    </xf>
    <xf numFmtId="167" fontId="36" fillId="0" borderId="47" xfId="0" applyNumberFormat="1" applyFont="1" applyBorder="1" applyAlignment="1">
      <alignment horizontal="center" vertical="center"/>
    </xf>
    <xf numFmtId="164" fontId="0" fillId="0" borderId="54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right" vertical="center" wrapText="1"/>
    </xf>
    <xf numFmtId="164" fontId="18" fillId="0" borderId="17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 wrapText="1"/>
    </xf>
    <xf numFmtId="167" fontId="0" fillId="0" borderId="17" xfId="0" applyNumberFormat="1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164" fontId="36" fillId="0" borderId="17" xfId="0" applyFont="1" applyFill="1" applyBorder="1" applyAlignment="1">
      <alignment horizontal="center" vertical="center" wrapText="1"/>
    </xf>
    <xf numFmtId="167" fontId="36" fillId="0" borderId="55" xfId="0" applyNumberFormat="1" applyFont="1" applyBorder="1" applyAlignment="1">
      <alignment horizontal="center" vertical="center"/>
    </xf>
    <xf numFmtId="164" fontId="18" fillId="0" borderId="56" xfId="0" applyFont="1" applyFill="1" applyBorder="1" applyAlignment="1">
      <alignment horizontal="center" vertical="center" wrapText="1"/>
    </xf>
    <xf numFmtId="164" fontId="0" fillId="0" borderId="56" xfId="0" applyFont="1" applyFill="1" applyBorder="1" applyAlignment="1">
      <alignment horizontal="center" vertical="center" wrapText="1"/>
    </xf>
    <xf numFmtId="167" fontId="0" fillId="0" borderId="56" xfId="0" applyNumberFormat="1" applyFont="1" applyFill="1" applyBorder="1" applyAlignment="1">
      <alignment horizontal="center" vertical="center" wrapText="1"/>
    </xf>
    <xf numFmtId="164" fontId="36" fillId="0" borderId="56" xfId="0" applyFont="1" applyFill="1" applyBorder="1" applyAlignment="1">
      <alignment horizontal="center" vertical="center" wrapText="1"/>
    </xf>
    <xf numFmtId="167" fontId="36" fillId="0" borderId="56" xfId="0" applyNumberFormat="1" applyFont="1" applyBorder="1" applyAlignment="1">
      <alignment horizontal="center" vertical="center"/>
    </xf>
    <xf numFmtId="164" fontId="18" fillId="0" borderId="57" xfId="0" applyFont="1" applyFill="1" applyBorder="1" applyAlignment="1">
      <alignment horizontal="center" vertical="center" wrapText="1"/>
    </xf>
    <xf numFmtId="164" fontId="0" fillId="0" borderId="57" xfId="0" applyFont="1" applyFill="1" applyBorder="1" applyAlignment="1">
      <alignment horizontal="center" vertical="center" wrapText="1"/>
    </xf>
    <xf numFmtId="167" fontId="0" fillId="0" borderId="57" xfId="0" applyNumberFormat="1" applyFont="1" applyFill="1" applyBorder="1" applyAlignment="1">
      <alignment horizontal="center" vertical="center" wrapText="1"/>
    </xf>
    <xf numFmtId="164" fontId="36" fillId="0" borderId="57" xfId="0" applyFont="1" applyFill="1" applyBorder="1" applyAlignment="1">
      <alignment horizontal="center" vertical="center" wrapText="1"/>
    </xf>
    <xf numFmtId="167" fontId="36" fillId="0" borderId="57" xfId="0" applyNumberFormat="1" applyFont="1" applyBorder="1" applyAlignment="1">
      <alignment horizontal="center" vertical="center"/>
    </xf>
    <xf numFmtId="164" fontId="0" fillId="0" borderId="11" xfId="0" applyFont="1" applyFill="1" applyBorder="1" applyAlignment="1">
      <alignment horizontal="right" vertical="center" wrapText="1"/>
    </xf>
    <xf numFmtId="164" fontId="18" fillId="0" borderId="52" xfId="0" applyFont="1" applyFill="1" applyBorder="1" applyAlignment="1">
      <alignment horizontal="center" vertical="center" wrapText="1"/>
    </xf>
    <xf numFmtId="164" fontId="0" fillId="0" borderId="52" xfId="0" applyFont="1" applyFill="1" applyBorder="1" applyAlignment="1">
      <alignment horizontal="center" vertical="center" wrapText="1"/>
    </xf>
    <xf numFmtId="167" fontId="0" fillId="0" borderId="52" xfId="0" applyNumberFormat="1" applyFont="1" applyFill="1" applyBorder="1" applyAlignment="1">
      <alignment horizontal="center" vertical="center" wrapText="1"/>
    </xf>
    <xf numFmtId="164" fontId="36" fillId="0" borderId="52" xfId="0" applyFont="1" applyFill="1" applyBorder="1" applyAlignment="1">
      <alignment horizontal="center" vertical="center" wrapText="1"/>
    </xf>
    <xf numFmtId="164" fontId="18" fillId="0" borderId="55" xfId="0" applyFont="1" applyFill="1" applyBorder="1" applyAlignment="1">
      <alignment horizontal="center" vertical="center" wrapText="1"/>
    </xf>
    <xf numFmtId="164" fontId="0" fillId="0" borderId="55" xfId="0" applyFont="1" applyFill="1" applyBorder="1" applyAlignment="1">
      <alignment horizontal="center" vertical="center" wrapText="1"/>
    </xf>
    <xf numFmtId="167" fontId="0" fillId="0" borderId="55" xfId="0" applyNumberFormat="1" applyFont="1" applyFill="1" applyBorder="1" applyAlignment="1">
      <alignment horizontal="center" vertical="center" wrapText="1"/>
    </xf>
    <xf numFmtId="164" fontId="36" fillId="0" borderId="55" xfId="0" applyFont="1" applyFill="1" applyBorder="1" applyAlignment="1">
      <alignment horizontal="center" vertical="center" wrapText="1"/>
    </xf>
    <xf numFmtId="164" fontId="30" fillId="4" borderId="18" xfId="0" applyFont="1" applyFill="1" applyBorder="1" applyAlignment="1">
      <alignment horizontal="center" vertical="center"/>
    </xf>
    <xf numFmtId="164" fontId="37" fillId="4" borderId="20" xfId="0" applyFont="1" applyFill="1" applyBorder="1" applyAlignment="1">
      <alignment horizontal="center" vertical="center" wrapText="1"/>
    </xf>
    <xf numFmtId="167" fontId="39" fillId="0" borderId="20" xfId="0" applyNumberFormat="1" applyFont="1" applyBorder="1" applyAlignment="1">
      <alignment horizontal="center" vertical="center"/>
    </xf>
    <xf numFmtId="164" fontId="36" fillId="0" borderId="13" xfId="0" applyFont="1" applyFill="1" applyBorder="1" applyAlignment="1">
      <alignment horizontal="center" vertical="center"/>
    </xf>
    <xf numFmtId="164" fontId="37" fillId="0" borderId="45" xfId="0" applyFont="1" applyFill="1" applyBorder="1" applyAlignment="1">
      <alignment horizontal="left" vertical="center" wrapText="1"/>
    </xf>
    <xf numFmtId="164" fontId="37" fillId="0" borderId="14" xfId="0" applyFont="1" applyFill="1" applyBorder="1" applyAlignment="1">
      <alignment horizontal="center" vertical="center" wrapText="1"/>
    </xf>
    <xf numFmtId="164" fontId="36" fillId="0" borderId="0" xfId="0" applyFont="1" applyFill="1" applyAlignment="1">
      <alignment/>
    </xf>
    <xf numFmtId="164" fontId="22" fillId="0" borderId="13" xfId="0" applyFont="1" applyFill="1" applyBorder="1" applyAlignment="1">
      <alignment horizontal="center" vertical="center"/>
    </xf>
    <xf numFmtId="164" fontId="19" fillId="0" borderId="22" xfId="0" applyFont="1" applyFill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 wrapText="1"/>
    </xf>
    <xf numFmtId="167" fontId="22" fillId="0" borderId="14" xfId="0" applyNumberFormat="1" applyFont="1" applyBorder="1" applyAlignment="1">
      <alignment horizontal="center" vertical="center"/>
    </xf>
    <xf numFmtId="164" fontId="18" fillId="0" borderId="22" xfId="0" applyFont="1" applyBorder="1" applyAlignment="1">
      <alignment horizontal="left" vertical="center" wrapText="1"/>
    </xf>
    <xf numFmtId="164" fontId="32" fillId="0" borderId="13" xfId="0" applyFont="1" applyFill="1" applyBorder="1" applyAlignment="1">
      <alignment horizontal="center" vertical="center"/>
    </xf>
    <xf numFmtId="164" fontId="18" fillId="0" borderId="14" xfId="0" applyFont="1" applyBorder="1" applyAlignment="1">
      <alignment horizontal="left" vertical="center" wrapText="1"/>
    </xf>
    <xf numFmtId="164" fontId="38" fillId="0" borderId="13" xfId="0" applyFont="1" applyFill="1" applyBorder="1" applyAlignment="1">
      <alignment horizontal="center" vertical="center"/>
    </xf>
    <xf numFmtId="164" fontId="39" fillId="0" borderId="45" xfId="0" applyFont="1" applyFill="1" applyBorder="1" applyAlignment="1">
      <alignment horizontal="left" vertical="center" wrapText="1"/>
    </xf>
    <xf numFmtId="164" fontId="38" fillId="0" borderId="0" xfId="0" applyFont="1" applyFill="1" applyAlignment="1">
      <alignment/>
    </xf>
    <xf numFmtId="171" fontId="0" fillId="0" borderId="45" xfId="0" applyNumberFormat="1" applyFont="1" applyFill="1" applyBorder="1" applyAlignment="1">
      <alignment horizontal="left" vertical="center" wrapText="1"/>
    </xf>
    <xf numFmtId="171" fontId="22" fillId="0" borderId="45" xfId="0" applyNumberFormat="1" applyFont="1" applyFill="1" applyBorder="1" applyAlignment="1">
      <alignment horizontal="left" vertical="center" wrapText="1"/>
    </xf>
    <xf numFmtId="164" fontId="29" fillId="4" borderId="45" xfId="0" applyFont="1" applyFill="1" applyBorder="1" applyAlignment="1">
      <alignment horizontal="left" vertical="center" wrapText="1"/>
    </xf>
    <xf numFmtId="164" fontId="22" fillId="4" borderId="14" xfId="0" applyFont="1" applyFill="1" applyBorder="1" applyAlignment="1">
      <alignment horizontal="center" vertical="center" wrapText="1"/>
    </xf>
    <xf numFmtId="164" fontId="36" fillId="0" borderId="45" xfId="0" applyFont="1" applyBorder="1" applyAlignment="1">
      <alignment horizontal="left" vertical="center" wrapText="1"/>
    </xf>
    <xf numFmtId="164" fontId="30" fillId="0" borderId="1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left" vertical="center" wrapText="1"/>
    </xf>
    <xf numFmtId="164" fontId="18" fillId="0" borderId="22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 wrapText="1"/>
    </xf>
    <xf numFmtId="164" fontId="25" fillId="0" borderId="0" xfId="0" applyFont="1" applyFill="1" applyBorder="1" applyAlignment="1">
      <alignment horizontal="right" wrapText="1"/>
    </xf>
    <xf numFmtId="164" fontId="25" fillId="0" borderId="0" xfId="0" applyFont="1" applyFill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workbookViewId="0" topLeftCell="A1">
      <selection activeCell="E5" sqref="E5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>
      <c r="A1" s="3" t="s">
        <v>0</v>
      </c>
      <c r="B1" s="3"/>
      <c r="C1" s="3"/>
      <c r="D1" s="3"/>
      <c r="E1" s="3"/>
      <c r="F1" s="3"/>
      <c r="G1" s="3"/>
    </row>
    <row r="2" spans="1:7" ht="24.75">
      <c r="A2" s="4" t="s">
        <v>1</v>
      </c>
      <c r="B2" s="5"/>
      <c r="C2" s="6" t="s">
        <v>2</v>
      </c>
      <c r="D2" s="7" t="s">
        <v>3</v>
      </c>
      <c r="E2" s="8" t="s">
        <v>4</v>
      </c>
      <c r="F2" s="7" t="s">
        <v>5</v>
      </c>
      <c r="G2" s="9" t="s">
        <v>6</v>
      </c>
    </row>
    <row r="3" spans="1:7" ht="15">
      <c r="A3" s="10" t="s">
        <v>7</v>
      </c>
      <c r="B3" s="11">
        <v>90</v>
      </c>
      <c r="C3" s="12">
        <f>WPF!H45</f>
        <v>20551585</v>
      </c>
      <c r="D3" s="13">
        <v>0</v>
      </c>
      <c r="E3" s="14">
        <v>0</v>
      </c>
      <c r="F3" s="14">
        <v>0</v>
      </c>
      <c r="G3" s="14"/>
    </row>
    <row r="4" spans="1:7" ht="0.75" customHeight="1">
      <c r="A4" s="15" t="s">
        <v>8</v>
      </c>
      <c r="B4" s="16">
        <v>90</v>
      </c>
      <c r="C4" s="12">
        <f>C3</f>
        <v>20551585</v>
      </c>
      <c r="D4" s="13">
        <v>0</v>
      </c>
      <c r="E4" s="14">
        <f>B4*C4*5.5%/360</f>
        <v>282584.29375</v>
      </c>
      <c r="F4" s="17">
        <v>0</v>
      </c>
      <c r="G4" s="17">
        <f>E3+E4</f>
        <v>282584.29375</v>
      </c>
    </row>
    <row r="5" spans="1:7" s="2" customFormat="1" ht="15">
      <c r="A5" s="18" t="s">
        <v>9</v>
      </c>
      <c r="B5" s="19">
        <v>90</v>
      </c>
      <c r="C5" s="12">
        <f aca="true" t="shared" si="0" ref="C5:C39">C4-D4</f>
        <v>20551585</v>
      </c>
      <c r="D5" s="13">
        <v>12500</v>
      </c>
      <c r="E5" s="14">
        <f>B5*C5*0.07/360</f>
        <v>359652.73750000005</v>
      </c>
      <c r="F5" s="20"/>
      <c r="G5" s="20"/>
    </row>
    <row r="6" spans="1:8" ht="15">
      <c r="A6" s="10" t="s">
        <v>10</v>
      </c>
      <c r="B6" s="21">
        <v>90</v>
      </c>
      <c r="C6" s="12">
        <f t="shared" si="0"/>
        <v>20539085</v>
      </c>
      <c r="D6" s="13">
        <v>12500</v>
      </c>
      <c r="E6" s="14">
        <f>B6*C6*0.07/360</f>
        <v>359433.98750000005</v>
      </c>
      <c r="F6" s="14"/>
      <c r="G6" s="14"/>
      <c r="H6" s="22">
        <f>SUM(D5:D8)</f>
        <v>50000</v>
      </c>
    </row>
    <row r="7" spans="1:7" ht="15">
      <c r="A7" s="10" t="s">
        <v>11</v>
      </c>
      <c r="B7" s="11">
        <v>90</v>
      </c>
      <c r="C7" s="12">
        <f t="shared" si="0"/>
        <v>20526585</v>
      </c>
      <c r="D7" s="13">
        <f aca="true" t="shared" si="1" ref="D7:D28">D6</f>
        <v>12500</v>
      </c>
      <c r="E7" s="14">
        <f aca="true" t="shared" si="2" ref="E7:E40">B7*C7*0.07/360</f>
        <v>359215.23750000005</v>
      </c>
      <c r="F7" s="14"/>
      <c r="G7" s="14"/>
    </row>
    <row r="8" spans="1:7" ht="15">
      <c r="A8" s="15" t="s">
        <v>12</v>
      </c>
      <c r="B8" s="23">
        <v>90</v>
      </c>
      <c r="C8" s="12">
        <f t="shared" si="0"/>
        <v>20514085</v>
      </c>
      <c r="D8" s="13">
        <f t="shared" si="1"/>
        <v>12500</v>
      </c>
      <c r="E8" s="14">
        <f t="shared" si="2"/>
        <v>358996.48750000005</v>
      </c>
      <c r="F8" s="17">
        <f>D6+D7+D8+D5</f>
        <v>50000</v>
      </c>
      <c r="G8" s="17">
        <f>E5+E6+E7+E8</f>
        <v>1437298.4500000002</v>
      </c>
    </row>
    <row r="9" spans="1:7" ht="15">
      <c r="A9" s="18" t="s">
        <v>13</v>
      </c>
      <c r="B9" s="24">
        <v>90</v>
      </c>
      <c r="C9" s="12">
        <f t="shared" si="0"/>
        <v>20501585</v>
      </c>
      <c r="D9" s="13">
        <f t="shared" si="1"/>
        <v>12500</v>
      </c>
      <c r="E9" s="14">
        <f t="shared" si="2"/>
        <v>358777.73750000005</v>
      </c>
      <c r="F9" s="20"/>
      <c r="G9" s="20"/>
    </row>
    <row r="10" spans="1:8" ht="15">
      <c r="A10" s="10" t="s">
        <v>14</v>
      </c>
      <c r="B10" s="11">
        <v>90</v>
      </c>
      <c r="C10" s="12">
        <f t="shared" si="0"/>
        <v>20489085</v>
      </c>
      <c r="D10" s="13">
        <f t="shared" si="1"/>
        <v>12500</v>
      </c>
      <c r="E10" s="14">
        <f t="shared" si="2"/>
        <v>358558.98750000005</v>
      </c>
      <c r="F10" s="14"/>
      <c r="G10" s="14"/>
      <c r="H10" s="22">
        <v>50000</v>
      </c>
    </row>
    <row r="11" spans="1:7" ht="15">
      <c r="A11" s="10" t="s">
        <v>15</v>
      </c>
      <c r="B11" s="11">
        <v>90</v>
      </c>
      <c r="C11" s="12">
        <f t="shared" si="0"/>
        <v>20476585</v>
      </c>
      <c r="D11" s="13">
        <f t="shared" si="1"/>
        <v>12500</v>
      </c>
      <c r="E11" s="14">
        <f t="shared" si="2"/>
        <v>358340.23750000005</v>
      </c>
      <c r="F11" s="14"/>
      <c r="G11" s="14"/>
    </row>
    <row r="12" spans="1:7" ht="15">
      <c r="A12" s="15" t="s">
        <v>16</v>
      </c>
      <c r="B12" s="23">
        <v>90</v>
      </c>
      <c r="C12" s="12">
        <f t="shared" si="0"/>
        <v>20464085</v>
      </c>
      <c r="D12" s="13">
        <f t="shared" si="1"/>
        <v>12500</v>
      </c>
      <c r="E12" s="14">
        <f t="shared" si="2"/>
        <v>358121.48750000005</v>
      </c>
      <c r="F12" s="25">
        <f>SUM(D9:D12)</f>
        <v>50000</v>
      </c>
      <c r="G12" s="25">
        <f>SUM(E9:E12)</f>
        <v>1433798.4500000002</v>
      </c>
    </row>
    <row r="13" spans="1:7" ht="15">
      <c r="A13" s="18" t="s">
        <v>17</v>
      </c>
      <c r="B13" s="24">
        <v>90</v>
      </c>
      <c r="C13" s="12">
        <f t="shared" si="0"/>
        <v>20451585</v>
      </c>
      <c r="D13" s="13">
        <f t="shared" si="1"/>
        <v>12500</v>
      </c>
      <c r="E13" s="14">
        <f t="shared" si="2"/>
        <v>357902.73750000005</v>
      </c>
      <c r="F13" s="26"/>
      <c r="G13" s="26"/>
    </row>
    <row r="14" spans="1:8" ht="15">
      <c r="A14" s="10" t="s">
        <v>18</v>
      </c>
      <c r="B14" s="11">
        <v>90</v>
      </c>
      <c r="C14" s="12">
        <f t="shared" si="0"/>
        <v>20439085</v>
      </c>
      <c r="D14" s="13">
        <f t="shared" si="1"/>
        <v>12500</v>
      </c>
      <c r="E14" s="14">
        <f t="shared" si="2"/>
        <v>357683.98750000005</v>
      </c>
      <c r="F14" s="14"/>
      <c r="G14" s="14"/>
      <c r="H14" s="22">
        <v>50000</v>
      </c>
    </row>
    <row r="15" spans="1:7" ht="15">
      <c r="A15" s="10" t="s">
        <v>19</v>
      </c>
      <c r="B15" s="11">
        <v>90</v>
      </c>
      <c r="C15" s="12">
        <f t="shared" si="0"/>
        <v>20426585</v>
      </c>
      <c r="D15" s="13">
        <f t="shared" si="1"/>
        <v>12500</v>
      </c>
      <c r="E15" s="14">
        <f t="shared" si="2"/>
        <v>357465.23750000005</v>
      </c>
      <c r="F15" s="14"/>
      <c r="G15" s="14"/>
    </row>
    <row r="16" spans="1:7" ht="15">
      <c r="A16" s="15" t="s">
        <v>20</v>
      </c>
      <c r="B16" s="23">
        <v>90</v>
      </c>
      <c r="C16" s="12">
        <f t="shared" si="0"/>
        <v>20414085</v>
      </c>
      <c r="D16" s="13">
        <f t="shared" si="1"/>
        <v>12500</v>
      </c>
      <c r="E16" s="14">
        <f t="shared" si="2"/>
        <v>357246.48750000005</v>
      </c>
      <c r="F16" s="25">
        <f>SUM(D13:D16)</f>
        <v>50000</v>
      </c>
      <c r="G16" s="25">
        <f>SUM(E13:E16)</f>
        <v>1430298.4500000002</v>
      </c>
    </row>
    <row r="17" spans="1:7" ht="15">
      <c r="A17" s="18" t="s">
        <v>21</v>
      </c>
      <c r="B17" s="24">
        <v>90</v>
      </c>
      <c r="C17" s="12">
        <f t="shared" si="0"/>
        <v>20401585</v>
      </c>
      <c r="D17" s="13">
        <f t="shared" si="1"/>
        <v>12500</v>
      </c>
      <c r="E17" s="14">
        <f t="shared" si="2"/>
        <v>357027.73750000005</v>
      </c>
      <c r="F17" s="26"/>
      <c r="G17" s="26"/>
    </row>
    <row r="18" spans="1:8" ht="15">
      <c r="A18" s="10" t="s">
        <v>22</v>
      </c>
      <c r="B18" s="11">
        <v>90</v>
      </c>
      <c r="C18" s="12">
        <f t="shared" si="0"/>
        <v>20389085</v>
      </c>
      <c r="D18" s="13">
        <f t="shared" si="1"/>
        <v>12500</v>
      </c>
      <c r="E18" s="14">
        <f t="shared" si="2"/>
        <v>356808.98750000005</v>
      </c>
      <c r="F18" s="14"/>
      <c r="G18" s="14"/>
      <c r="H18" s="22">
        <v>50000</v>
      </c>
    </row>
    <row r="19" spans="1:8" s="31" customFormat="1" ht="15">
      <c r="A19" s="27" t="s">
        <v>23</v>
      </c>
      <c r="B19" s="28">
        <v>90</v>
      </c>
      <c r="C19" s="12">
        <f t="shared" si="0"/>
        <v>20376585</v>
      </c>
      <c r="D19" s="13">
        <f t="shared" si="1"/>
        <v>12500</v>
      </c>
      <c r="E19" s="14">
        <f t="shared" si="2"/>
        <v>356590.23750000005</v>
      </c>
      <c r="F19" s="29"/>
      <c r="G19" s="29"/>
      <c r="H19" s="30"/>
    </row>
    <row r="20" spans="1:7" s="31" customFormat="1" ht="15">
      <c r="A20" s="32" t="s">
        <v>24</v>
      </c>
      <c r="B20" s="33">
        <v>90</v>
      </c>
      <c r="C20" s="12">
        <f t="shared" si="0"/>
        <v>20364085</v>
      </c>
      <c r="D20" s="13">
        <f t="shared" si="1"/>
        <v>12500</v>
      </c>
      <c r="E20" s="14">
        <f t="shared" si="2"/>
        <v>356371.48750000005</v>
      </c>
      <c r="F20" s="34">
        <f>SUM(D17:D20)</f>
        <v>50000</v>
      </c>
      <c r="G20" s="34">
        <f>SUM(E17:E20)</f>
        <v>1426798.4500000002</v>
      </c>
    </row>
    <row r="21" spans="1:7" ht="15">
      <c r="A21" s="18" t="s">
        <v>25</v>
      </c>
      <c r="B21" s="21">
        <v>90</v>
      </c>
      <c r="C21" s="12">
        <f t="shared" si="0"/>
        <v>20351585</v>
      </c>
      <c r="D21" s="13">
        <f t="shared" si="1"/>
        <v>12500</v>
      </c>
      <c r="E21" s="14">
        <f t="shared" si="2"/>
        <v>356152.73750000005</v>
      </c>
      <c r="F21" s="20"/>
      <c r="G21" s="20"/>
    </row>
    <row r="22" spans="1:8" ht="15">
      <c r="A22" s="10" t="s">
        <v>26</v>
      </c>
      <c r="B22" s="21">
        <v>90</v>
      </c>
      <c r="C22" s="12">
        <f t="shared" si="0"/>
        <v>20339085</v>
      </c>
      <c r="D22" s="13">
        <f t="shared" si="1"/>
        <v>12500</v>
      </c>
      <c r="E22" s="14">
        <f t="shared" si="2"/>
        <v>355933.98750000005</v>
      </c>
      <c r="F22" s="14"/>
      <c r="G22" s="14"/>
      <c r="H22" s="22">
        <v>50000</v>
      </c>
    </row>
    <row r="23" spans="1:7" ht="15">
      <c r="A23" s="10" t="s">
        <v>27</v>
      </c>
      <c r="B23" s="21">
        <v>90</v>
      </c>
      <c r="C23" s="12">
        <f t="shared" si="0"/>
        <v>20326585</v>
      </c>
      <c r="D23" s="13">
        <f t="shared" si="1"/>
        <v>12500</v>
      </c>
      <c r="E23" s="14">
        <f t="shared" si="2"/>
        <v>355715.23750000005</v>
      </c>
      <c r="F23" s="14"/>
      <c r="G23" s="14"/>
    </row>
    <row r="24" spans="1:7" ht="15">
      <c r="A24" s="15" t="s">
        <v>28</v>
      </c>
      <c r="B24" s="23">
        <v>90</v>
      </c>
      <c r="C24" s="35">
        <f t="shared" si="0"/>
        <v>20314085</v>
      </c>
      <c r="D24" s="13">
        <f t="shared" si="1"/>
        <v>12500</v>
      </c>
      <c r="E24" s="14">
        <f t="shared" si="2"/>
        <v>355496.48750000005</v>
      </c>
      <c r="F24" s="17">
        <f>SUM(D21:D24)</f>
        <v>50000</v>
      </c>
      <c r="G24" s="17">
        <f>SUM(E21:E24)</f>
        <v>1423298.4500000002</v>
      </c>
    </row>
    <row r="25" spans="1:7" s="31" customFormat="1" ht="15">
      <c r="A25" s="36" t="s">
        <v>29</v>
      </c>
      <c r="B25" s="37">
        <v>90</v>
      </c>
      <c r="C25" s="38">
        <f t="shared" si="0"/>
        <v>20301585</v>
      </c>
      <c r="D25" s="13">
        <f t="shared" si="1"/>
        <v>12500</v>
      </c>
      <c r="E25" s="14">
        <f t="shared" si="2"/>
        <v>355277.73750000005</v>
      </c>
      <c r="F25" s="39"/>
      <c r="G25" s="39"/>
    </row>
    <row r="26" spans="1:8" s="31" customFormat="1" ht="15">
      <c r="A26" s="27" t="s">
        <v>30</v>
      </c>
      <c r="B26" s="28">
        <v>90</v>
      </c>
      <c r="C26" s="40">
        <f t="shared" si="0"/>
        <v>20289085</v>
      </c>
      <c r="D26" s="13">
        <f t="shared" si="1"/>
        <v>12500</v>
      </c>
      <c r="E26" s="14">
        <f t="shared" si="2"/>
        <v>355058.98750000005</v>
      </c>
      <c r="F26" s="29"/>
      <c r="G26" s="29"/>
      <c r="H26" s="41">
        <f>SUM(D25:D28)</f>
        <v>50000</v>
      </c>
    </row>
    <row r="27" spans="1:7" s="31" customFormat="1" ht="15">
      <c r="A27" s="27" t="s">
        <v>31</v>
      </c>
      <c r="B27" s="28">
        <v>90</v>
      </c>
      <c r="C27" s="40">
        <f t="shared" si="0"/>
        <v>20276585</v>
      </c>
      <c r="D27" s="13">
        <f t="shared" si="1"/>
        <v>12500</v>
      </c>
      <c r="E27" s="14">
        <f t="shared" si="2"/>
        <v>354840.23750000005</v>
      </c>
      <c r="F27" s="29"/>
      <c r="G27" s="29"/>
    </row>
    <row r="28" spans="1:7" s="31" customFormat="1" ht="15">
      <c r="A28" s="32" t="s">
        <v>32</v>
      </c>
      <c r="B28" s="42">
        <v>90</v>
      </c>
      <c r="C28" s="43">
        <f t="shared" si="0"/>
        <v>20264085</v>
      </c>
      <c r="D28" s="13">
        <f t="shared" si="1"/>
        <v>12500</v>
      </c>
      <c r="E28" s="14">
        <f t="shared" si="2"/>
        <v>354621.48750000005</v>
      </c>
      <c r="F28" s="44">
        <f>SUM(D25:D28)</f>
        <v>50000</v>
      </c>
      <c r="G28" s="44">
        <f>SUM(E25:E28)</f>
        <v>1419798.4500000002</v>
      </c>
    </row>
    <row r="29" spans="1:8" ht="15">
      <c r="A29" s="18" t="s">
        <v>33</v>
      </c>
      <c r="B29" s="45">
        <v>90</v>
      </c>
      <c r="C29" s="46">
        <f t="shared" si="0"/>
        <v>20251585</v>
      </c>
      <c r="D29" s="13">
        <v>750000</v>
      </c>
      <c r="E29" s="14">
        <f t="shared" si="2"/>
        <v>354402.73750000005</v>
      </c>
      <c r="F29" s="20"/>
      <c r="G29" s="20"/>
      <c r="H29" s="47">
        <f>C29/12</f>
        <v>1687632.0833333333</v>
      </c>
    </row>
    <row r="30" spans="1:8" ht="15">
      <c r="A30" s="10" t="s">
        <v>34</v>
      </c>
      <c r="B30" s="11">
        <v>90</v>
      </c>
      <c r="C30" s="12">
        <f t="shared" si="0"/>
        <v>19501585</v>
      </c>
      <c r="D30" s="13">
        <v>750528</v>
      </c>
      <c r="E30" s="14">
        <f t="shared" si="2"/>
        <v>341277.73750000005</v>
      </c>
      <c r="F30" s="14"/>
      <c r="G30" s="14"/>
      <c r="H30" s="22">
        <f>SUM(D29:D32)</f>
        <v>2750528</v>
      </c>
    </row>
    <row r="31" spans="1:7" ht="15">
      <c r="A31" s="10" t="s">
        <v>35</v>
      </c>
      <c r="B31" s="11">
        <v>90</v>
      </c>
      <c r="C31" s="12">
        <f t="shared" si="0"/>
        <v>18751057</v>
      </c>
      <c r="D31" s="13">
        <v>625000</v>
      </c>
      <c r="E31" s="14">
        <f t="shared" si="2"/>
        <v>328143.4975</v>
      </c>
      <c r="F31" s="14"/>
      <c r="G31" s="14"/>
    </row>
    <row r="32" spans="1:7" ht="15">
      <c r="A32" s="15" t="s">
        <v>36</v>
      </c>
      <c r="B32" s="16">
        <v>90</v>
      </c>
      <c r="C32" s="35">
        <f t="shared" si="0"/>
        <v>18126057</v>
      </c>
      <c r="D32" s="48">
        <v>625000</v>
      </c>
      <c r="E32" s="14">
        <f t="shared" si="2"/>
        <v>317205.9975</v>
      </c>
      <c r="F32" s="17">
        <f>SUM(D29:D32)</f>
        <v>2750528</v>
      </c>
      <c r="G32" s="17">
        <f>SUM(E29:E32)</f>
        <v>1341029.9700000002</v>
      </c>
    </row>
    <row r="33" spans="1:7" s="31" customFormat="1" ht="15">
      <c r="A33" s="36" t="s">
        <v>37</v>
      </c>
      <c r="B33" s="37">
        <v>90</v>
      </c>
      <c r="C33" s="38">
        <f t="shared" si="0"/>
        <v>17501057</v>
      </c>
      <c r="D33" s="49">
        <f>D32</f>
        <v>625000</v>
      </c>
      <c r="E33" s="29">
        <f t="shared" si="2"/>
        <v>306268.4975</v>
      </c>
      <c r="F33" s="39"/>
      <c r="G33" s="39"/>
    </row>
    <row r="34" spans="1:8" s="31" customFormat="1" ht="15">
      <c r="A34" s="27" t="s">
        <v>38</v>
      </c>
      <c r="B34" s="28">
        <v>90</v>
      </c>
      <c r="C34" s="40">
        <f t="shared" si="0"/>
        <v>16876057</v>
      </c>
      <c r="D34" s="49">
        <f>D33</f>
        <v>625000</v>
      </c>
      <c r="E34" s="29">
        <f t="shared" si="2"/>
        <v>295330.9975</v>
      </c>
      <c r="F34" s="29"/>
      <c r="G34" s="29"/>
      <c r="H34" s="41">
        <f>SUM(D33:D36)</f>
        <v>5750523</v>
      </c>
    </row>
    <row r="35" spans="1:7" s="31" customFormat="1" ht="15">
      <c r="A35" s="27" t="s">
        <v>39</v>
      </c>
      <c r="B35" s="28">
        <v>90</v>
      </c>
      <c r="C35" s="40">
        <f t="shared" si="0"/>
        <v>16251057</v>
      </c>
      <c r="D35" s="50">
        <v>2250261</v>
      </c>
      <c r="E35" s="29">
        <f t="shared" si="2"/>
        <v>284393.4975</v>
      </c>
      <c r="F35" s="29"/>
      <c r="G35" s="29"/>
    </row>
    <row r="36" spans="1:7" s="31" customFormat="1" ht="15">
      <c r="A36" s="32" t="s">
        <v>40</v>
      </c>
      <c r="B36" s="42">
        <v>90</v>
      </c>
      <c r="C36" s="43">
        <f t="shared" si="0"/>
        <v>14000796</v>
      </c>
      <c r="D36" s="49">
        <v>2250262</v>
      </c>
      <c r="E36" s="29">
        <f t="shared" si="2"/>
        <v>245013.93000000002</v>
      </c>
      <c r="F36" s="44">
        <f>SUM(D33:D36)</f>
        <v>5750523</v>
      </c>
      <c r="G36" s="44">
        <f>SUM(E33:E36)</f>
        <v>1131006.9225</v>
      </c>
    </row>
    <row r="37" spans="1:7" ht="15">
      <c r="A37" s="18" t="s">
        <v>41</v>
      </c>
      <c r="B37" s="45">
        <v>90</v>
      </c>
      <c r="C37" s="46">
        <f t="shared" si="0"/>
        <v>11750534</v>
      </c>
      <c r="D37" s="49">
        <v>625000</v>
      </c>
      <c r="E37" s="14">
        <f>B37*C37*0.07/360</f>
        <v>205634.345</v>
      </c>
      <c r="F37" s="20"/>
      <c r="G37" s="20"/>
    </row>
    <row r="38" spans="1:8" ht="15">
      <c r="A38" s="10" t="s">
        <v>42</v>
      </c>
      <c r="B38" s="11">
        <v>90</v>
      </c>
      <c r="C38" s="12">
        <f t="shared" si="0"/>
        <v>11125534</v>
      </c>
      <c r="D38" s="49">
        <v>625000</v>
      </c>
      <c r="E38" s="14">
        <f t="shared" si="2"/>
        <v>194696.845</v>
      </c>
      <c r="F38" s="14"/>
      <c r="G38" s="14"/>
      <c r="H38" s="22">
        <f>SUM(D37:D40)</f>
        <v>5750534</v>
      </c>
    </row>
    <row r="39" spans="1:7" ht="15">
      <c r="A39" s="10" t="s">
        <v>43</v>
      </c>
      <c r="B39" s="11">
        <v>90</v>
      </c>
      <c r="C39" s="12">
        <f t="shared" si="0"/>
        <v>10500534</v>
      </c>
      <c r="D39" s="50">
        <v>2250267</v>
      </c>
      <c r="E39" s="14">
        <f t="shared" si="2"/>
        <v>183759.345</v>
      </c>
      <c r="F39" s="14"/>
      <c r="G39" s="14"/>
    </row>
    <row r="40" spans="1:7" ht="15">
      <c r="A40" s="15" t="s">
        <v>44</v>
      </c>
      <c r="B40" s="16">
        <v>90</v>
      </c>
      <c r="C40" s="35">
        <f>C39-D39</f>
        <v>8250267</v>
      </c>
      <c r="D40" s="49">
        <f>D39</f>
        <v>2250267</v>
      </c>
      <c r="E40" s="14">
        <f t="shared" si="2"/>
        <v>144379.67250000002</v>
      </c>
      <c r="F40" s="17">
        <f>SUM(D37:D40)</f>
        <v>5750534</v>
      </c>
      <c r="G40" s="17">
        <f>SUM(E37:E40)</f>
        <v>728470.2075</v>
      </c>
    </row>
    <row r="41" spans="1:7" ht="15">
      <c r="A41" s="18" t="s">
        <v>45</v>
      </c>
      <c r="B41" s="45">
        <v>90</v>
      </c>
      <c r="C41" s="46">
        <f>C40-D40</f>
        <v>6000000</v>
      </c>
      <c r="D41" s="49">
        <v>1500000</v>
      </c>
      <c r="E41" s="14">
        <f>B41*C41*0.07/360</f>
        <v>105000</v>
      </c>
      <c r="F41" s="20"/>
      <c r="G41" s="20"/>
    </row>
    <row r="42" spans="1:8" ht="15">
      <c r="A42" s="10" t="s">
        <v>46</v>
      </c>
      <c r="B42" s="11">
        <v>90</v>
      </c>
      <c r="C42" s="12">
        <f>C41-D41</f>
        <v>4500000</v>
      </c>
      <c r="D42" s="49">
        <v>1500000</v>
      </c>
      <c r="E42" s="14">
        <f>B42*C42*0.07/360</f>
        <v>78750.00000000001</v>
      </c>
      <c r="F42" s="14"/>
      <c r="G42" s="14"/>
      <c r="H42" s="22">
        <f>SUM(D41:D44)</f>
        <v>6000000</v>
      </c>
    </row>
    <row r="43" spans="1:7" ht="15">
      <c r="A43" s="10" t="s">
        <v>47</v>
      </c>
      <c r="B43" s="11">
        <v>90</v>
      </c>
      <c r="C43" s="12">
        <f>C42-D42</f>
        <v>3000000</v>
      </c>
      <c r="D43" s="49">
        <v>1500000</v>
      </c>
      <c r="E43" s="14">
        <f>B43*C43*0.07/360</f>
        <v>52500</v>
      </c>
      <c r="F43" s="14"/>
      <c r="G43" s="14"/>
    </row>
    <row r="44" spans="1:7" ht="15">
      <c r="A44" s="15" t="s">
        <v>48</v>
      </c>
      <c r="B44" s="16">
        <v>90</v>
      </c>
      <c r="C44" s="35">
        <f>C43-D43</f>
        <v>1500000</v>
      </c>
      <c r="D44" s="49">
        <v>1500000</v>
      </c>
      <c r="E44" s="14">
        <f>B44*C44*0.07/360</f>
        <v>26250</v>
      </c>
      <c r="F44" s="17">
        <f>SUM(D41:D44)</f>
        <v>6000000</v>
      </c>
      <c r="G44" s="17">
        <f>SUM(E41:E44)</f>
        <v>262500</v>
      </c>
    </row>
    <row r="45" ht="12.75">
      <c r="F45" s="22">
        <f>SUM(F8+F12+F16+F20+F24++F28+F32+F36+F40+F44)</f>
        <v>20551585</v>
      </c>
    </row>
    <row r="46" spans="6:8" ht="12.75">
      <c r="F46" s="22">
        <f>F45-C3</f>
        <v>0</v>
      </c>
      <c r="H46" s="22">
        <f>SUM(H42,H38,H34,H30,H26,H22,H14,H10,H6,H18)</f>
        <v>20551585</v>
      </c>
    </row>
  </sheetData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workbookViewId="0" topLeftCell="A18">
      <selection activeCell="K38" sqref="K38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421875" style="0" customWidth="1"/>
    <col min="4" max="4" width="18.421875" style="0" customWidth="1"/>
    <col min="5" max="5" width="8.421875" style="2" customWidth="1"/>
    <col min="6" max="6" width="12.00390625" style="0" customWidth="1"/>
    <col min="7" max="7" width="10.7109375" style="0" customWidth="1"/>
    <col min="8" max="8" width="17.140625" style="51" customWidth="1"/>
    <col min="9" max="36" width="9.00390625" style="51" customWidth="1"/>
  </cols>
  <sheetData>
    <row r="1" spans="1:7" ht="46.5" customHeight="1">
      <c r="A1" s="3" t="s">
        <v>49</v>
      </c>
      <c r="B1" s="3"/>
      <c r="C1" s="3"/>
      <c r="D1" s="3"/>
      <c r="E1" s="3"/>
      <c r="F1" s="3"/>
      <c r="G1" s="3"/>
    </row>
    <row r="2" spans="1:7" ht="15">
      <c r="A2" s="52"/>
      <c r="B2" s="53"/>
      <c r="C2" s="54"/>
      <c r="D2" s="54"/>
      <c r="E2" s="54"/>
      <c r="F2" s="54"/>
      <c r="G2" s="54"/>
    </row>
    <row r="3" spans="1:7" ht="29.25">
      <c r="A3" s="4" t="s">
        <v>1</v>
      </c>
      <c r="B3" s="5"/>
      <c r="C3" s="6" t="s">
        <v>2</v>
      </c>
      <c r="D3" s="6" t="s">
        <v>3</v>
      </c>
      <c r="E3" s="55" t="s">
        <v>4</v>
      </c>
      <c r="F3" s="6" t="s">
        <v>5</v>
      </c>
      <c r="G3" s="56" t="s">
        <v>6</v>
      </c>
    </row>
    <row r="4" spans="1:7" ht="15">
      <c r="A4" s="10" t="s">
        <v>7</v>
      </c>
      <c r="B4" s="11">
        <v>90</v>
      </c>
      <c r="C4" s="12">
        <v>0</v>
      </c>
      <c r="D4" s="57">
        <v>0</v>
      </c>
      <c r="E4" s="58">
        <v>0</v>
      </c>
      <c r="F4" s="58">
        <v>0</v>
      </c>
      <c r="G4" s="58"/>
    </row>
    <row r="5" spans="1:7" ht="0.75" customHeight="1">
      <c r="A5" s="15" t="s">
        <v>8</v>
      </c>
      <c r="B5" s="16">
        <v>90</v>
      </c>
      <c r="C5" s="12">
        <f>C4</f>
        <v>0</v>
      </c>
      <c r="D5" s="57">
        <v>0</v>
      </c>
      <c r="E5" s="58">
        <f>B5*C5*5.5%/360</f>
        <v>0</v>
      </c>
      <c r="F5" s="59">
        <v>0</v>
      </c>
      <c r="G5" s="59">
        <f>E4+E5</f>
        <v>0</v>
      </c>
    </row>
    <row r="6" spans="1:36" s="2" customFormat="1" ht="15">
      <c r="A6" s="18" t="s">
        <v>9</v>
      </c>
      <c r="B6" s="19">
        <v>90</v>
      </c>
      <c r="C6" s="12">
        <f>C5-D5</f>
        <v>0</v>
      </c>
      <c r="D6" s="57">
        <v>0</v>
      </c>
      <c r="E6" s="58">
        <f>B6*C6*5.5%/360</f>
        <v>0</v>
      </c>
      <c r="F6" s="60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7" ht="15">
      <c r="A7" s="10" t="s">
        <v>10</v>
      </c>
      <c r="B7" s="21">
        <v>90</v>
      </c>
      <c r="C7" s="12">
        <f>C6-D6</f>
        <v>0</v>
      </c>
      <c r="D7" s="57">
        <v>0</v>
      </c>
      <c r="E7" s="58">
        <f>B7*C7*5.5%/360</f>
        <v>0</v>
      </c>
      <c r="F7" s="58"/>
      <c r="G7" s="58"/>
    </row>
    <row r="8" spans="1:7" ht="15">
      <c r="A8" s="10" t="s">
        <v>11</v>
      </c>
      <c r="B8" s="11">
        <v>90</v>
      </c>
      <c r="C8" s="12">
        <f>C7-D7</f>
        <v>0</v>
      </c>
      <c r="D8" s="57">
        <v>0</v>
      </c>
      <c r="E8" s="58">
        <f>B8*C8*5.5%/360</f>
        <v>0</v>
      </c>
      <c r="F8" s="58"/>
      <c r="G8" s="58"/>
    </row>
    <row r="9" spans="1:7" ht="15">
      <c r="A9" s="15" t="s">
        <v>12</v>
      </c>
      <c r="B9" s="23">
        <v>90</v>
      </c>
      <c r="C9" s="12">
        <f>WPF!I45</f>
        <v>5000000</v>
      </c>
      <c r="D9" s="57">
        <v>0</v>
      </c>
      <c r="E9"/>
      <c r="F9" s="59">
        <f>D7+D8+D9</f>
        <v>0</v>
      </c>
      <c r="G9" s="59"/>
    </row>
    <row r="10" spans="1:7" ht="15">
      <c r="A10" s="18" t="s">
        <v>13</v>
      </c>
      <c r="B10" s="24">
        <v>90</v>
      </c>
      <c r="C10" s="12">
        <f>C9-D9</f>
        <v>5000000</v>
      </c>
      <c r="D10" s="57">
        <v>50000</v>
      </c>
      <c r="E10" s="58">
        <f>B10*C10*0.07/360</f>
        <v>87500.00000000001</v>
      </c>
      <c r="F10" s="60"/>
      <c r="G10" s="60"/>
    </row>
    <row r="11" spans="1:7" ht="15">
      <c r="A11" s="10" t="s">
        <v>14</v>
      </c>
      <c r="B11" s="11">
        <v>90</v>
      </c>
      <c r="C11" s="12">
        <f aca="true" t="shared" si="0" ref="C11:C44">C10-D10</f>
        <v>4950000</v>
      </c>
      <c r="D11" s="57">
        <v>50000</v>
      </c>
      <c r="E11" s="58">
        <f aca="true" t="shared" si="1" ref="E11:E41">B11*C11*0.07/360</f>
        <v>86625.00000000001</v>
      </c>
      <c r="F11" s="58"/>
      <c r="G11" s="58"/>
    </row>
    <row r="12" spans="1:7" ht="15">
      <c r="A12" s="10" t="s">
        <v>15</v>
      </c>
      <c r="B12" s="11">
        <v>90</v>
      </c>
      <c r="C12" s="12">
        <f t="shared" si="0"/>
        <v>4900000</v>
      </c>
      <c r="D12" s="57">
        <v>50000</v>
      </c>
      <c r="E12" s="58">
        <f t="shared" si="1"/>
        <v>85750.00000000001</v>
      </c>
      <c r="F12" s="58"/>
      <c r="G12" s="58"/>
    </row>
    <row r="13" spans="1:7" ht="15">
      <c r="A13" s="15" t="s">
        <v>16</v>
      </c>
      <c r="B13" s="23">
        <v>90</v>
      </c>
      <c r="C13" s="12">
        <f t="shared" si="0"/>
        <v>4850000</v>
      </c>
      <c r="D13" s="57">
        <v>50000</v>
      </c>
      <c r="E13" s="58">
        <f t="shared" si="1"/>
        <v>84875.00000000001</v>
      </c>
      <c r="F13" s="62">
        <f>SUM(D10:D13)</f>
        <v>200000</v>
      </c>
      <c r="G13" s="62">
        <f>SUM(E10:E13)</f>
        <v>344750.00000000006</v>
      </c>
    </row>
    <row r="14" spans="1:7" ht="15">
      <c r="A14" s="18" t="s">
        <v>17</v>
      </c>
      <c r="B14" s="24">
        <v>90</v>
      </c>
      <c r="C14" s="12">
        <f t="shared" si="0"/>
        <v>4800000</v>
      </c>
      <c r="D14" s="57"/>
      <c r="E14" s="58">
        <f t="shared" si="1"/>
        <v>84000.00000000001</v>
      </c>
      <c r="F14" s="63"/>
      <c r="G14" s="63"/>
    </row>
    <row r="15" spans="1:7" ht="15">
      <c r="A15" s="10" t="s">
        <v>18</v>
      </c>
      <c r="B15" s="11">
        <v>90</v>
      </c>
      <c r="C15" s="12">
        <f t="shared" si="0"/>
        <v>4800000</v>
      </c>
      <c r="D15" s="57"/>
      <c r="E15" s="58">
        <f t="shared" si="1"/>
        <v>84000.00000000001</v>
      </c>
      <c r="F15" s="58"/>
      <c r="G15" s="58"/>
    </row>
    <row r="16" spans="1:7" ht="15">
      <c r="A16" s="10" t="s">
        <v>19</v>
      </c>
      <c r="B16" s="11">
        <v>90</v>
      </c>
      <c r="C16" s="12">
        <f t="shared" si="0"/>
        <v>4800000</v>
      </c>
      <c r="D16" s="57"/>
      <c r="E16" s="58">
        <f t="shared" si="1"/>
        <v>84000.00000000001</v>
      </c>
      <c r="F16" s="58"/>
      <c r="G16" s="58"/>
    </row>
    <row r="17" spans="1:7" ht="15">
      <c r="A17" s="15" t="s">
        <v>20</v>
      </c>
      <c r="B17" s="23">
        <v>90</v>
      </c>
      <c r="C17" s="12">
        <f t="shared" si="0"/>
        <v>4800000</v>
      </c>
      <c r="D17" s="57">
        <v>50000</v>
      </c>
      <c r="E17" s="58">
        <f t="shared" si="1"/>
        <v>84000.00000000001</v>
      </c>
      <c r="F17" s="62">
        <f>SUM(D14:D17)</f>
        <v>50000</v>
      </c>
      <c r="G17" s="62">
        <f>SUM(E14:E17)</f>
        <v>336000.00000000006</v>
      </c>
    </row>
    <row r="18" spans="1:7" ht="15">
      <c r="A18" s="18" t="s">
        <v>21</v>
      </c>
      <c r="B18" s="24">
        <v>90</v>
      </c>
      <c r="C18" s="12">
        <f t="shared" si="0"/>
        <v>4750000</v>
      </c>
      <c r="D18" s="57">
        <f>D17</f>
        <v>50000</v>
      </c>
      <c r="E18" s="58">
        <f t="shared" si="1"/>
        <v>83125.00000000001</v>
      </c>
      <c r="F18" s="63"/>
      <c r="G18" s="63"/>
    </row>
    <row r="19" spans="1:7" ht="15">
      <c r="A19" s="10" t="s">
        <v>22</v>
      </c>
      <c r="B19" s="11">
        <v>90</v>
      </c>
      <c r="C19" s="12">
        <f t="shared" si="0"/>
        <v>4700000</v>
      </c>
      <c r="D19" s="57"/>
      <c r="E19" s="58">
        <f t="shared" si="1"/>
        <v>82250.00000000001</v>
      </c>
      <c r="F19" s="58"/>
      <c r="G19" s="58"/>
    </row>
    <row r="20" spans="1:36" s="31" customFormat="1" ht="15">
      <c r="A20" s="27" t="s">
        <v>23</v>
      </c>
      <c r="B20" s="28">
        <v>90</v>
      </c>
      <c r="C20" s="12">
        <f t="shared" si="0"/>
        <v>4700000</v>
      </c>
      <c r="D20" s="57"/>
      <c r="E20" s="58">
        <f t="shared" si="1"/>
        <v>82250.00000000001</v>
      </c>
      <c r="F20" s="64"/>
      <c r="G20" s="64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s="31" customFormat="1" ht="15">
      <c r="A21" s="32" t="s">
        <v>24</v>
      </c>
      <c r="B21" s="33">
        <v>90</v>
      </c>
      <c r="C21" s="12">
        <f t="shared" si="0"/>
        <v>4700000</v>
      </c>
      <c r="D21" s="65"/>
      <c r="E21" s="58">
        <f t="shared" si="1"/>
        <v>82250.00000000001</v>
      </c>
      <c r="F21" s="66">
        <f>SUM(D18:D21)</f>
        <v>50000</v>
      </c>
      <c r="G21" s="66">
        <f>SUM(E18:E21)</f>
        <v>329875.00000000006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7" ht="15">
      <c r="A22" s="18" t="s">
        <v>25</v>
      </c>
      <c r="B22" s="21">
        <v>90</v>
      </c>
      <c r="C22" s="12">
        <f t="shared" si="0"/>
        <v>4700000</v>
      </c>
      <c r="D22" s="65">
        <v>50000</v>
      </c>
      <c r="E22" s="58">
        <f t="shared" si="1"/>
        <v>82250.00000000001</v>
      </c>
      <c r="F22" s="60"/>
      <c r="G22" s="60"/>
    </row>
    <row r="23" spans="1:7" ht="15">
      <c r="A23" s="10" t="s">
        <v>26</v>
      </c>
      <c r="B23" s="21">
        <v>90</v>
      </c>
      <c r="C23" s="12">
        <f t="shared" si="0"/>
        <v>4650000</v>
      </c>
      <c r="D23" s="65"/>
      <c r="E23" s="58">
        <f t="shared" si="1"/>
        <v>81375.00000000001</v>
      </c>
      <c r="F23" s="58"/>
      <c r="G23" s="58"/>
    </row>
    <row r="24" spans="1:7" ht="15">
      <c r="A24" s="10" t="s">
        <v>27</v>
      </c>
      <c r="B24" s="21">
        <v>90</v>
      </c>
      <c r="C24" s="12">
        <f t="shared" si="0"/>
        <v>4650000</v>
      </c>
      <c r="D24" s="57"/>
      <c r="E24" s="58">
        <f t="shared" si="1"/>
        <v>81375.00000000001</v>
      </c>
      <c r="F24" s="58"/>
      <c r="G24" s="58"/>
    </row>
    <row r="25" spans="1:7" ht="15">
      <c r="A25" s="15" t="s">
        <v>28</v>
      </c>
      <c r="B25" s="23">
        <v>90</v>
      </c>
      <c r="C25" s="12">
        <f t="shared" si="0"/>
        <v>4650000</v>
      </c>
      <c r="D25" s="57"/>
      <c r="E25" s="58">
        <f t="shared" si="1"/>
        <v>81375.00000000001</v>
      </c>
      <c r="F25" s="59">
        <f>SUM(D22:D25)</f>
        <v>50000</v>
      </c>
      <c r="G25" s="59">
        <f>SUM(E22:E25)</f>
        <v>326375.00000000006</v>
      </c>
    </row>
    <row r="26" spans="1:36" s="31" customFormat="1" ht="15">
      <c r="A26" s="36" t="s">
        <v>29</v>
      </c>
      <c r="B26" s="37">
        <v>90</v>
      </c>
      <c r="C26" s="12">
        <f t="shared" si="0"/>
        <v>4650000</v>
      </c>
      <c r="D26" s="65">
        <v>50000</v>
      </c>
      <c r="E26" s="58">
        <f t="shared" si="1"/>
        <v>81375.00000000001</v>
      </c>
      <c r="F26" s="67"/>
      <c r="G26" s="67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s="31" customFormat="1" ht="15">
      <c r="A27" s="27" t="s">
        <v>30</v>
      </c>
      <c r="B27" s="28">
        <v>90</v>
      </c>
      <c r="C27" s="12">
        <f t="shared" si="0"/>
        <v>4600000</v>
      </c>
      <c r="D27" s="65"/>
      <c r="E27" s="58">
        <f t="shared" si="1"/>
        <v>80500.00000000001</v>
      </c>
      <c r="F27" s="64"/>
      <c r="G27" s="64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s="31" customFormat="1" ht="15">
      <c r="A28" s="27" t="s">
        <v>31</v>
      </c>
      <c r="B28" s="28">
        <v>90</v>
      </c>
      <c r="C28" s="12">
        <f t="shared" si="0"/>
        <v>4600000</v>
      </c>
      <c r="D28" s="65"/>
      <c r="E28" s="58">
        <f t="shared" si="1"/>
        <v>80500.00000000001</v>
      </c>
      <c r="F28" s="64"/>
      <c r="G28" s="6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s="31" customFormat="1" ht="15">
      <c r="A29" s="32" t="s">
        <v>32</v>
      </c>
      <c r="B29" s="42">
        <v>90</v>
      </c>
      <c r="C29" s="12">
        <f t="shared" si="0"/>
        <v>4600000</v>
      </c>
      <c r="D29" s="65"/>
      <c r="E29" s="58">
        <f t="shared" si="1"/>
        <v>80500.00000000001</v>
      </c>
      <c r="F29" s="68">
        <f>SUM(D26:D29)</f>
        <v>50000</v>
      </c>
      <c r="G29" s="68">
        <f>SUM(E26:E29)</f>
        <v>322875.00000000006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8" ht="15">
      <c r="A30" s="18" t="s">
        <v>33</v>
      </c>
      <c r="B30" s="45">
        <v>90</v>
      </c>
      <c r="C30" s="12">
        <f t="shared" si="0"/>
        <v>4600000</v>
      </c>
      <c r="D30" s="57"/>
      <c r="E30" s="58">
        <f t="shared" si="1"/>
        <v>80500.00000000001</v>
      </c>
      <c r="F30" s="60"/>
      <c r="G30" s="60"/>
      <c r="H30" s="51">
        <v>333333</v>
      </c>
    </row>
    <row r="31" spans="1:7" ht="15">
      <c r="A31" s="10" t="s">
        <v>34</v>
      </c>
      <c r="B31" s="11">
        <v>90</v>
      </c>
      <c r="C31" s="12">
        <f t="shared" si="0"/>
        <v>4600000</v>
      </c>
      <c r="D31" s="65"/>
      <c r="E31" s="58">
        <f t="shared" si="1"/>
        <v>80500.00000000001</v>
      </c>
      <c r="F31" s="58"/>
      <c r="G31" s="58"/>
    </row>
    <row r="32" spans="1:7" ht="15">
      <c r="A32" s="10" t="s">
        <v>35</v>
      </c>
      <c r="B32" s="11">
        <v>90</v>
      </c>
      <c r="C32" s="12">
        <f t="shared" si="0"/>
        <v>4600000</v>
      </c>
      <c r="D32" s="65">
        <v>333332</v>
      </c>
      <c r="E32" s="58">
        <f t="shared" si="1"/>
        <v>80500.00000000001</v>
      </c>
      <c r="F32" s="58"/>
      <c r="G32" s="58"/>
    </row>
    <row r="33" spans="1:7" ht="15">
      <c r="A33" s="69" t="s">
        <v>36</v>
      </c>
      <c r="B33" s="24">
        <v>90</v>
      </c>
      <c r="C33" s="70">
        <f t="shared" si="0"/>
        <v>4266668</v>
      </c>
      <c r="D33" s="65"/>
      <c r="E33" s="71">
        <f t="shared" si="1"/>
        <v>74666.69</v>
      </c>
      <c r="F33" s="71">
        <f>SUM(D30:D33)</f>
        <v>333332</v>
      </c>
      <c r="G33" s="71">
        <f>SUM(E30:E33)</f>
        <v>316166.69000000006</v>
      </c>
    </row>
    <row r="34" spans="1:36" s="31" customFormat="1" ht="15">
      <c r="A34" s="72" t="s">
        <v>37</v>
      </c>
      <c r="B34" s="73">
        <v>90</v>
      </c>
      <c r="C34" s="74">
        <f t="shared" si="0"/>
        <v>4266668</v>
      </c>
      <c r="D34" s="75">
        <v>250000</v>
      </c>
      <c r="E34" s="76">
        <f t="shared" si="1"/>
        <v>74666.69</v>
      </c>
      <c r="F34" s="77"/>
      <c r="G34" s="77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s="31" customFormat="1" ht="15">
      <c r="A35" s="27" t="s">
        <v>38</v>
      </c>
      <c r="B35" s="28">
        <v>90</v>
      </c>
      <c r="C35" s="12">
        <f t="shared" si="0"/>
        <v>4016668</v>
      </c>
      <c r="D35" s="65">
        <f>D34</f>
        <v>250000</v>
      </c>
      <c r="E35" s="58">
        <f t="shared" si="1"/>
        <v>70291.69</v>
      </c>
      <c r="F35" s="64"/>
      <c r="G35" s="64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s="31" customFormat="1" ht="15">
      <c r="A36" s="27" t="s">
        <v>39</v>
      </c>
      <c r="B36" s="28">
        <v>90</v>
      </c>
      <c r="C36" s="12">
        <f t="shared" si="0"/>
        <v>3766668</v>
      </c>
      <c r="D36" s="65">
        <v>500000</v>
      </c>
      <c r="E36" s="58">
        <f t="shared" si="1"/>
        <v>65916.69</v>
      </c>
      <c r="F36" s="64"/>
      <c r="G36" s="64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s="31" customFormat="1" ht="15">
      <c r="A37" s="32" t="s">
        <v>40</v>
      </c>
      <c r="B37" s="42">
        <v>90</v>
      </c>
      <c r="C37" s="35">
        <f t="shared" si="0"/>
        <v>3266668</v>
      </c>
      <c r="D37" s="78">
        <v>333332</v>
      </c>
      <c r="E37" s="59">
        <f t="shared" si="1"/>
        <v>57166.69000000001</v>
      </c>
      <c r="F37" s="68">
        <f>SUM(D34:D37)</f>
        <v>1333332</v>
      </c>
      <c r="G37" s="68">
        <f>SUM(E34:E37)</f>
        <v>268041.76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7" ht="15">
      <c r="A38" s="18" t="s">
        <v>41</v>
      </c>
      <c r="B38" s="45">
        <v>90</v>
      </c>
      <c r="C38" s="46">
        <f t="shared" si="0"/>
        <v>2933336</v>
      </c>
      <c r="D38" s="57">
        <f>D37</f>
        <v>333332</v>
      </c>
      <c r="E38" s="60">
        <f t="shared" si="1"/>
        <v>51333.380000000005</v>
      </c>
      <c r="F38" s="60"/>
      <c r="G38" s="60"/>
    </row>
    <row r="39" spans="1:7" ht="15">
      <c r="A39" s="10" t="s">
        <v>42</v>
      </c>
      <c r="B39" s="11">
        <v>90</v>
      </c>
      <c r="C39" s="12">
        <f t="shared" si="0"/>
        <v>2600004</v>
      </c>
      <c r="D39" s="57">
        <f>D38</f>
        <v>333332</v>
      </c>
      <c r="E39" s="58">
        <f t="shared" si="1"/>
        <v>45500.07</v>
      </c>
      <c r="F39" s="58"/>
      <c r="G39" s="58"/>
    </row>
    <row r="40" spans="1:7" ht="15">
      <c r="A40" s="10" t="s">
        <v>43</v>
      </c>
      <c r="B40" s="11">
        <v>90</v>
      </c>
      <c r="C40" s="12">
        <f t="shared" si="0"/>
        <v>2266672</v>
      </c>
      <c r="D40" s="57">
        <f>D39</f>
        <v>333332</v>
      </c>
      <c r="E40" s="58">
        <f t="shared" si="1"/>
        <v>39666.76</v>
      </c>
      <c r="F40" s="58"/>
      <c r="G40" s="58"/>
    </row>
    <row r="41" spans="1:7" ht="15">
      <c r="A41" s="15" t="s">
        <v>44</v>
      </c>
      <c r="B41" s="16">
        <v>90</v>
      </c>
      <c r="C41" s="12">
        <f t="shared" si="0"/>
        <v>1933340</v>
      </c>
      <c r="D41" s="79">
        <v>333340</v>
      </c>
      <c r="E41" s="58">
        <f t="shared" si="1"/>
        <v>33833.450000000004</v>
      </c>
      <c r="F41" s="59">
        <f>SUM(D38:D41)</f>
        <v>1333336</v>
      </c>
      <c r="G41" s="59">
        <f>SUM(E38:E41)</f>
        <v>170333.66</v>
      </c>
    </row>
    <row r="42" spans="1:7" ht="15">
      <c r="A42" s="18" t="s">
        <v>45</v>
      </c>
      <c r="B42" s="45">
        <v>90</v>
      </c>
      <c r="C42" s="12">
        <f t="shared" si="0"/>
        <v>1600000</v>
      </c>
      <c r="D42" s="57">
        <v>300000</v>
      </c>
      <c r="E42" s="58">
        <f>B42*C42*0.07/360</f>
        <v>28000.000000000004</v>
      </c>
      <c r="F42" s="60"/>
      <c r="G42" s="60"/>
    </row>
    <row r="43" spans="1:7" ht="15">
      <c r="A43" s="10" t="s">
        <v>46</v>
      </c>
      <c r="B43" s="11">
        <v>90</v>
      </c>
      <c r="C43" s="12">
        <f t="shared" si="0"/>
        <v>1300000</v>
      </c>
      <c r="D43" s="57">
        <v>600000</v>
      </c>
      <c r="E43" s="58">
        <f>B43*C43*0.07/360</f>
        <v>22750.000000000004</v>
      </c>
      <c r="F43" s="58"/>
      <c r="G43" s="58"/>
    </row>
    <row r="44" spans="1:7" ht="15">
      <c r="A44" s="10" t="s">
        <v>47</v>
      </c>
      <c r="B44" s="11">
        <v>90</v>
      </c>
      <c r="C44" s="12">
        <f t="shared" si="0"/>
        <v>700000</v>
      </c>
      <c r="D44" s="57">
        <v>400000</v>
      </c>
      <c r="E44" s="58">
        <f>B44*C44*0.07/360</f>
        <v>12250</v>
      </c>
      <c r="F44" s="58"/>
      <c r="G44" s="58"/>
    </row>
    <row r="45" spans="1:8" ht="15">
      <c r="A45" s="15" t="s">
        <v>48</v>
      </c>
      <c r="B45" s="16">
        <v>90</v>
      </c>
      <c r="C45" s="12">
        <f>C44-D44</f>
        <v>300000</v>
      </c>
      <c r="D45" s="79">
        <v>300000</v>
      </c>
      <c r="E45" s="58">
        <f>B45*C45*0.07/360</f>
        <v>5250.000000000001</v>
      </c>
      <c r="F45" s="59">
        <f>SUM(D42:D45)</f>
        <v>1600000</v>
      </c>
      <c r="G45" s="59">
        <f>SUM(E42:E45)</f>
        <v>68250</v>
      </c>
      <c r="H45" s="80">
        <f>SUM(F13:F45)</f>
        <v>5000000</v>
      </c>
    </row>
    <row r="46" ht="12.75">
      <c r="D46" s="22">
        <f>SUM(D10:D45)</f>
        <v>5000000</v>
      </c>
    </row>
  </sheetData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75" zoomScaleNormal="90" zoomScaleSheetLayoutView="75" workbookViewId="0" topLeftCell="H1">
      <selection activeCell="Q7" sqref="Q7"/>
    </sheetView>
  </sheetViews>
  <sheetFormatPr defaultColWidth="12.57421875" defaultRowHeight="12.75"/>
  <cols>
    <col min="1" max="1" width="4.00390625" style="0" customWidth="1"/>
    <col min="2" max="2" width="6.8515625" style="0" customWidth="1"/>
    <col min="3" max="3" width="36.140625" style="81" customWidth="1"/>
    <col min="4" max="4" width="12.57421875" style="81" customWidth="1"/>
    <col min="5" max="5" width="13.28125" style="0" customWidth="1"/>
    <col min="6" max="6" width="13.57421875" style="0" customWidth="1"/>
    <col min="7" max="7" width="12.421875" style="81" customWidth="1"/>
    <col min="8" max="11" width="12.28125" style="0" customWidth="1"/>
    <col min="12" max="12" width="13.00390625" style="0" customWidth="1"/>
    <col min="13" max="13" width="12.28125" style="0" customWidth="1"/>
    <col min="14" max="18" width="12.421875" style="0" customWidth="1"/>
    <col min="19" max="16384" width="11.57421875" style="0" customWidth="1"/>
  </cols>
  <sheetData>
    <row r="1" spans="1:18" ht="19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2"/>
      <c r="O1" s="84" t="s">
        <v>50</v>
      </c>
      <c r="P1" s="84"/>
      <c r="Q1" s="85"/>
      <c r="R1" s="85"/>
    </row>
    <row r="2" spans="1:18" ht="3.75" customHeight="1">
      <c r="A2" s="86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89"/>
      <c r="P2" s="90"/>
      <c r="Q2" s="87"/>
      <c r="R2" s="87"/>
    </row>
    <row r="3" spans="1:18" ht="12.75" customHeight="1">
      <c r="A3" s="91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92"/>
      <c r="O3" s="94" t="s">
        <v>51</v>
      </c>
      <c r="P3" s="90"/>
      <c r="Q3" s="92"/>
      <c r="R3" s="92"/>
    </row>
    <row r="4" spans="1:18" ht="16.5" customHeight="1">
      <c r="A4" s="91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  <c r="N4" s="92"/>
      <c r="O4" s="94" t="s">
        <v>52</v>
      </c>
      <c r="P4" s="90"/>
      <c r="Q4" s="92"/>
      <c r="R4" s="92"/>
    </row>
    <row r="5" spans="1:18" ht="12" customHeight="1">
      <c r="A5" s="91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  <c r="N5" s="92"/>
      <c r="O5" s="94" t="s">
        <v>53</v>
      </c>
      <c r="P5" s="90"/>
      <c r="Q5" s="92"/>
      <c r="R5" s="92"/>
    </row>
    <row r="6" spans="1:18" ht="19.5" customHeight="1">
      <c r="A6" s="95" t="s">
        <v>54</v>
      </c>
      <c r="B6" s="95"/>
      <c r="C6" s="95" t="s">
        <v>55</v>
      </c>
      <c r="D6" s="95" t="s">
        <v>56</v>
      </c>
      <c r="E6" s="95" t="s">
        <v>54</v>
      </c>
      <c r="F6" s="95" t="s">
        <v>57</v>
      </c>
      <c r="G6" s="95" t="s">
        <v>58</v>
      </c>
      <c r="H6" s="95" t="s">
        <v>59</v>
      </c>
      <c r="I6" s="95" t="s">
        <v>60</v>
      </c>
      <c r="J6" s="95" t="s">
        <v>61</v>
      </c>
      <c r="K6" s="95" t="s">
        <v>62</v>
      </c>
      <c r="L6" s="95" t="s">
        <v>63</v>
      </c>
      <c r="M6" s="95" t="s">
        <v>64</v>
      </c>
      <c r="N6" s="95" t="s">
        <v>65</v>
      </c>
      <c r="O6" s="95" t="s">
        <v>66</v>
      </c>
      <c r="P6" s="96"/>
      <c r="Q6" s="96"/>
      <c r="R6" s="97"/>
    </row>
    <row r="7" spans="1:18" ht="19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96"/>
      <c r="R7" s="97"/>
    </row>
    <row r="8" spans="1:18" ht="19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8"/>
    </row>
    <row r="9" spans="1:18" ht="16.5" customHeight="1">
      <c r="A9" s="99" t="s">
        <v>67</v>
      </c>
      <c r="B9" s="100" t="s">
        <v>68</v>
      </c>
      <c r="C9" s="100"/>
      <c r="D9" s="101" t="s">
        <v>69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spans="1:18" ht="16.5" customHeight="1">
      <c r="A10" s="99"/>
      <c r="B10" s="100"/>
      <c r="C10" s="100"/>
      <c r="D10" s="101" t="s">
        <v>70</v>
      </c>
      <c r="E10" s="101"/>
      <c r="F10" s="101"/>
      <c r="G10" s="102" t="s">
        <v>71</v>
      </c>
      <c r="H10" s="101" t="s">
        <v>72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18" ht="18" customHeight="1">
      <c r="A11" s="99"/>
      <c r="B11" s="100"/>
      <c r="C11" s="100"/>
      <c r="D11" s="99">
        <v>2007</v>
      </c>
      <c r="E11" s="99">
        <v>2008</v>
      </c>
      <c r="F11" s="99">
        <v>2009</v>
      </c>
      <c r="G11" s="102"/>
      <c r="H11" s="99">
        <v>2011</v>
      </c>
      <c r="I11" s="99">
        <v>2012</v>
      </c>
      <c r="J11" s="99">
        <v>2013</v>
      </c>
      <c r="K11" s="99">
        <v>2014</v>
      </c>
      <c r="L11" s="99">
        <v>2015</v>
      </c>
      <c r="M11" s="99">
        <v>2016</v>
      </c>
      <c r="N11" s="99">
        <v>2017</v>
      </c>
      <c r="O11" s="99">
        <v>2018</v>
      </c>
      <c r="P11" s="99">
        <v>2019</v>
      </c>
      <c r="Q11" s="99">
        <v>2020</v>
      </c>
      <c r="R11" s="99">
        <v>2021</v>
      </c>
    </row>
    <row r="12" spans="1:18" ht="14.25" customHeight="1">
      <c r="A12" s="99"/>
      <c r="B12" s="100"/>
      <c r="C12" s="100"/>
      <c r="D12" s="99"/>
      <c r="E12" s="99"/>
      <c r="F12" s="99"/>
      <c r="G12" s="102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18" s="109" customFormat="1" ht="19.5" customHeight="1">
      <c r="A13" s="103">
        <v>1</v>
      </c>
      <c r="B13" s="104" t="s">
        <v>73</v>
      </c>
      <c r="C13" s="104"/>
      <c r="D13" s="105">
        <f aca="true" t="shared" si="0" ref="D13:I13">D14+D15</f>
        <v>75196615</v>
      </c>
      <c r="E13" s="105">
        <f t="shared" si="0"/>
        <v>80916668</v>
      </c>
      <c r="F13" s="105">
        <f t="shared" si="0"/>
        <v>81699693</v>
      </c>
      <c r="G13" s="106">
        <f t="shared" si="0"/>
        <v>120102212</v>
      </c>
      <c r="H13" s="105">
        <f t="shared" si="0"/>
        <v>123836259</v>
      </c>
      <c r="I13" s="105">
        <f t="shared" si="0"/>
        <v>154936142</v>
      </c>
      <c r="J13" s="105">
        <f>J14+J15</f>
        <v>121885333</v>
      </c>
      <c r="K13" s="105">
        <f>K14+K15</f>
        <v>107829336</v>
      </c>
      <c r="L13" s="105">
        <f>L14+L15</f>
        <v>99758339</v>
      </c>
      <c r="M13" s="105">
        <f aca="true" t="shared" si="1" ref="M13:R13">M14+M15</f>
        <v>113848430</v>
      </c>
      <c r="N13" s="105">
        <f t="shared" si="1"/>
        <v>118106216</v>
      </c>
      <c r="O13" s="105">
        <f t="shared" si="1"/>
        <v>112538571</v>
      </c>
      <c r="P13" s="105">
        <f t="shared" si="1"/>
        <v>117152653</v>
      </c>
      <c r="Q13" s="107">
        <f t="shared" si="1"/>
        <v>120470491</v>
      </c>
      <c r="R13" s="108">
        <f t="shared" si="1"/>
        <v>131614781</v>
      </c>
    </row>
    <row r="14" spans="1:18" ht="19.5" customHeight="1">
      <c r="A14" s="110" t="s">
        <v>74</v>
      </c>
      <c r="B14" s="111" t="s">
        <v>75</v>
      </c>
      <c r="C14" s="111"/>
      <c r="D14" s="112">
        <v>74779347</v>
      </c>
      <c r="E14" s="113">
        <v>80901768</v>
      </c>
      <c r="F14" s="113">
        <v>80665439</v>
      </c>
      <c r="G14" s="114">
        <v>84358416</v>
      </c>
      <c r="H14" s="115">
        <v>85387172</v>
      </c>
      <c r="I14" s="113">
        <v>89803585</v>
      </c>
      <c r="J14" s="113">
        <v>93052832</v>
      </c>
      <c r="K14" s="115">
        <v>95829336</v>
      </c>
      <c r="L14" s="113">
        <v>99758339</v>
      </c>
      <c r="M14" s="113">
        <v>103848430</v>
      </c>
      <c r="N14" s="113">
        <v>108106216</v>
      </c>
      <c r="O14" s="113">
        <v>112538571</v>
      </c>
      <c r="P14" s="113">
        <v>117152653</v>
      </c>
      <c r="Q14" s="116">
        <v>115470491</v>
      </c>
      <c r="R14" s="113">
        <v>126614781</v>
      </c>
    </row>
    <row r="15" spans="1:18" ht="19.5" customHeight="1">
      <c r="A15" s="110" t="s">
        <v>76</v>
      </c>
      <c r="B15" s="111" t="s">
        <v>77</v>
      </c>
      <c r="C15" s="111"/>
      <c r="D15" s="112">
        <v>417268</v>
      </c>
      <c r="E15" s="113">
        <v>14900</v>
      </c>
      <c r="F15" s="113">
        <v>1034254</v>
      </c>
      <c r="G15" s="114">
        <v>35743796</v>
      </c>
      <c r="H15" s="115">
        <v>38449087</v>
      </c>
      <c r="I15" s="113">
        <v>65132557</v>
      </c>
      <c r="J15" s="113">
        <v>28832501</v>
      </c>
      <c r="K15" s="115">
        <v>12000000</v>
      </c>
      <c r="L15" s="113">
        <f>L16</f>
        <v>0</v>
      </c>
      <c r="M15" s="113">
        <f>M16</f>
        <v>10000000</v>
      </c>
      <c r="N15" s="113">
        <f>N16</f>
        <v>10000000</v>
      </c>
      <c r="O15" s="113"/>
      <c r="P15" s="113">
        <f>P16</f>
        <v>0</v>
      </c>
      <c r="Q15" s="116">
        <f>Q16</f>
        <v>5000000</v>
      </c>
      <c r="R15" s="117">
        <f>R16</f>
        <v>5000000</v>
      </c>
    </row>
    <row r="16" spans="1:18" ht="20.25" customHeight="1">
      <c r="A16" s="110" t="s">
        <v>78</v>
      </c>
      <c r="B16" s="118" t="s">
        <v>79</v>
      </c>
      <c r="C16" s="119" t="s">
        <v>80</v>
      </c>
      <c r="D16" s="112">
        <v>0</v>
      </c>
      <c r="E16" s="113">
        <v>0</v>
      </c>
      <c r="F16" s="113">
        <v>197354</v>
      </c>
      <c r="G16" s="114">
        <v>25000000</v>
      </c>
      <c r="H16" s="115">
        <v>13500000</v>
      </c>
      <c r="I16" s="115">
        <v>19500000</v>
      </c>
      <c r="J16" s="115">
        <v>10000000</v>
      </c>
      <c r="K16" s="115">
        <v>0</v>
      </c>
      <c r="L16" s="115"/>
      <c r="M16" s="115">
        <v>10000000</v>
      </c>
      <c r="N16" s="115">
        <v>10000000</v>
      </c>
      <c r="O16" s="115"/>
      <c r="P16" s="115">
        <v>0</v>
      </c>
      <c r="Q16" s="120">
        <v>5000000</v>
      </c>
      <c r="R16" s="121">
        <v>5000000</v>
      </c>
    </row>
    <row r="17" spans="1:18" ht="43.5" customHeight="1">
      <c r="A17" s="122">
        <v>2</v>
      </c>
      <c r="B17" s="123" t="s">
        <v>81</v>
      </c>
      <c r="C17" s="123"/>
      <c r="D17" s="124">
        <v>54819832</v>
      </c>
      <c r="E17" s="124">
        <v>63400831</v>
      </c>
      <c r="F17" s="124">
        <v>71551205</v>
      </c>
      <c r="G17" s="125">
        <v>84370340</v>
      </c>
      <c r="H17" s="124">
        <v>78525196</v>
      </c>
      <c r="I17" s="124">
        <v>80081194</v>
      </c>
      <c r="J17" s="124">
        <v>83285119</v>
      </c>
      <c r="K17" s="124">
        <v>85867122</v>
      </c>
      <c r="L17" s="124">
        <v>91727098</v>
      </c>
      <c r="M17" s="124">
        <v>95798757</v>
      </c>
      <c r="N17" s="124">
        <v>99482555</v>
      </c>
      <c r="O17" s="124">
        <v>104605611</v>
      </c>
      <c r="P17" s="124">
        <v>108489346</v>
      </c>
      <c r="Q17" s="126">
        <v>107255871</v>
      </c>
      <c r="R17" s="127">
        <v>117935574</v>
      </c>
    </row>
    <row r="18" spans="1:18" ht="20.25" customHeight="1">
      <c r="A18" s="110" t="s">
        <v>74</v>
      </c>
      <c r="B18" s="128" t="s">
        <v>79</v>
      </c>
      <c r="C18" s="119" t="s">
        <v>82</v>
      </c>
      <c r="D18" s="112">
        <v>18942650</v>
      </c>
      <c r="E18" s="129">
        <v>21925321.76</v>
      </c>
      <c r="F18" s="113">
        <v>25712119</v>
      </c>
      <c r="G18" s="114">
        <v>30287736</v>
      </c>
      <c r="H18" s="115">
        <v>30259164</v>
      </c>
      <c r="I18" s="113">
        <f aca="true" t="shared" si="2" ref="I18:P18">H18*102%</f>
        <v>30864347.28</v>
      </c>
      <c r="J18" s="113">
        <f t="shared" si="2"/>
        <v>31481634.2256</v>
      </c>
      <c r="K18" s="115">
        <f t="shared" si="2"/>
        <v>32111266.910112</v>
      </c>
      <c r="L18" s="113">
        <f t="shared" si="2"/>
        <v>32753492.248314243</v>
      </c>
      <c r="M18" s="113">
        <f t="shared" si="2"/>
        <v>33408562.093280528</v>
      </c>
      <c r="N18" s="113">
        <f t="shared" si="2"/>
        <v>34076733.33514614</v>
      </c>
      <c r="O18" s="113">
        <f t="shared" si="2"/>
        <v>34758268.00184906</v>
      </c>
      <c r="P18" s="113">
        <f t="shared" si="2"/>
        <v>35453433.36188605</v>
      </c>
      <c r="Q18" s="116">
        <f>O18*102%</f>
        <v>35453433.36188605</v>
      </c>
      <c r="R18" s="117">
        <f>P18*102%</f>
        <v>36162502.02912377</v>
      </c>
    </row>
    <row r="19" spans="1:18" ht="20.25" customHeight="1">
      <c r="A19" s="110" t="s">
        <v>76</v>
      </c>
      <c r="B19" s="128"/>
      <c r="C19" s="119" t="s">
        <v>83</v>
      </c>
      <c r="D19" s="113">
        <v>6162886</v>
      </c>
      <c r="E19" s="113">
        <v>6959371</v>
      </c>
      <c r="F19" s="113">
        <v>7561065</v>
      </c>
      <c r="G19" s="114">
        <v>8806007</v>
      </c>
      <c r="H19" s="115">
        <v>7832000</v>
      </c>
      <c r="I19" s="113">
        <v>7910300</v>
      </c>
      <c r="J19" s="113">
        <v>7950000</v>
      </c>
      <c r="K19" s="115">
        <v>7980000</v>
      </c>
      <c r="L19" s="113">
        <v>8010000</v>
      </c>
      <c r="M19" s="113">
        <v>8170200</v>
      </c>
      <c r="N19" s="113">
        <f>M19*102%</f>
        <v>8333604</v>
      </c>
      <c r="O19" s="113">
        <f>N19*102%</f>
        <v>8500276.08</v>
      </c>
      <c r="P19" s="113">
        <f>O19*102%</f>
        <v>8670281.6016</v>
      </c>
      <c r="Q19" s="116">
        <f>O19*102%</f>
        <v>8670281.6016</v>
      </c>
      <c r="R19" s="117">
        <f>P19*102%</f>
        <v>8843687.233632</v>
      </c>
    </row>
    <row r="20" spans="1:18" ht="20.25" customHeight="1">
      <c r="A20" s="110" t="s">
        <v>84</v>
      </c>
      <c r="B20" s="128"/>
      <c r="C20" s="119" t="s">
        <v>85</v>
      </c>
      <c r="D20" s="112">
        <v>0</v>
      </c>
      <c r="E20" s="113">
        <v>0</v>
      </c>
      <c r="F20" s="113">
        <v>0</v>
      </c>
      <c r="G20" s="114">
        <v>0</v>
      </c>
      <c r="H20" s="130">
        <v>0</v>
      </c>
      <c r="I20" s="130"/>
      <c r="J20" s="130">
        <v>0</v>
      </c>
      <c r="K20" s="130"/>
      <c r="L20" s="130"/>
      <c r="M20" s="130"/>
      <c r="N20" s="130"/>
      <c r="O20" s="130"/>
      <c r="P20" s="130"/>
      <c r="Q20" s="130"/>
      <c r="R20" s="130"/>
    </row>
    <row r="21" spans="1:18" ht="21.75">
      <c r="A21" s="110" t="s">
        <v>78</v>
      </c>
      <c r="B21" s="128"/>
      <c r="C21" s="131" t="s">
        <v>86</v>
      </c>
      <c r="D21" s="112">
        <v>0</v>
      </c>
      <c r="E21" s="112">
        <v>0</v>
      </c>
      <c r="F21" s="112">
        <v>0</v>
      </c>
      <c r="G21" s="13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33">
        <v>0</v>
      </c>
      <c r="R21" s="134">
        <v>0</v>
      </c>
    </row>
    <row r="22" spans="1:18" ht="24.75">
      <c r="A22" s="110" t="s">
        <v>87</v>
      </c>
      <c r="B22" s="128"/>
      <c r="C22" s="119" t="s">
        <v>88</v>
      </c>
      <c r="D22" s="135" t="s">
        <v>89</v>
      </c>
      <c r="E22" s="113" t="s">
        <v>89</v>
      </c>
      <c r="F22" s="113" t="s">
        <v>89</v>
      </c>
      <c r="G22" s="132" t="s">
        <v>89</v>
      </c>
      <c r="H22" s="115">
        <f>'Wykaz przedsięwzięć'!J11</f>
        <v>687917</v>
      </c>
      <c r="I22" s="115">
        <f>'Wykaz przedsięwzięć'!K11</f>
        <v>687917</v>
      </c>
      <c r="J22" s="115">
        <f>'Wykaz przedsięwzięć'!L11</f>
        <v>550200</v>
      </c>
      <c r="K22" s="115">
        <f>'Wykaz przedsięwzięć'!M11</f>
        <v>329400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20">
        <v>0</v>
      </c>
      <c r="R22" s="121">
        <v>0</v>
      </c>
    </row>
    <row r="23" spans="1:18" ht="30" customHeight="1">
      <c r="A23" s="136">
        <v>3</v>
      </c>
      <c r="B23" s="137" t="s">
        <v>90</v>
      </c>
      <c r="C23" s="137"/>
      <c r="D23" s="138">
        <f aca="true" t="shared" si="3" ref="D23:R23">D13-D17</f>
        <v>20376783</v>
      </c>
      <c r="E23" s="138">
        <f t="shared" si="3"/>
        <v>17515837</v>
      </c>
      <c r="F23" s="138">
        <f t="shared" si="3"/>
        <v>10148488</v>
      </c>
      <c r="G23" s="125">
        <f>G13-G17</f>
        <v>35731872</v>
      </c>
      <c r="H23" s="124">
        <f t="shared" si="3"/>
        <v>45311063</v>
      </c>
      <c r="I23" s="138">
        <f t="shared" si="3"/>
        <v>74854948</v>
      </c>
      <c r="J23" s="138">
        <f t="shared" si="3"/>
        <v>38600214</v>
      </c>
      <c r="K23" s="124">
        <f t="shared" si="3"/>
        <v>21962214</v>
      </c>
      <c r="L23" s="138">
        <f>L13-L17</f>
        <v>8031241</v>
      </c>
      <c r="M23" s="138">
        <f t="shared" si="3"/>
        <v>18049673</v>
      </c>
      <c r="N23" s="138">
        <f t="shared" si="3"/>
        <v>18623661</v>
      </c>
      <c r="O23" s="138">
        <f t="shared" si="3"/>
        <v>7932960</v>
      </c>
      <c r="P23" s="138">
        <f t="shared" si="3"/>
        <v>8663307</v>
      </c>
      <c r="Q23" s="139">
        <f>Q13-Q17</f>
        <v>13214620</v>
      </c>
      <c r="R23" s="140">
        <f t="shared" si="3"/>
        <v>13679207</v>
      </c>
    </row>
    <row r="24" spans="1:18" ht="30" customHeight="1">
      <c r="A24" s="136">
        <v>4</v>
      </c>
      <c r="B24" s="137" t="s">
        <v>91</v>
      </c>
      <c r="C24" s="137"/>
      <c r="D24" s="141">
        <v>36329305</v>
      </c>
      <c r="E24" s="141">
        <v>19854380</v>
      </c>
      <c r="F24" s="141">
        <v>3719761</v>
      </c>
      <c r="G24" s="125">
        <v>1245475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3">
        <v>0</v>
      </c>
      <c r="R24" s="144">
        <v>0</v>
      </c>
    </row>
    <row r="25" spans="1:18" ht="51" customHeight="1">
      <c r="A25" s="110" t="s">
        <v>74</v>
      </c>
      <c r="B25" s="145" t="s">
        <v>79</v>
      </c>
      <c r="C25" s="146" t="s">
        <v>92</v>
      </c>
      <c r="D25" s="112">
        <v>16474925</v>
      </c>
      <c r="E25" s="112">
        <v>14712619</v>
      </c>
      <c r="F25" s="112">
        <v>0</v>
      </c>
      <c r="G25" s="132"/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8">
        <v>0</v>
      </c>
      <c r="R25" s="149">
        <v>0</v>
      </c>
    </row>
    <row r="26" spans="1:18" ht="28.5" customHeight="1">
      <c r="A26" s="136">
        <v>5</v>
      </c>
      <c r="B26" s="137" t="s">
        <v>93</v>
      </c>
      <c r="C26" s="137"/>
      <c r="D26" s="141">
        <v>0</v>
      </c>
      <c r="E26" s="141">
        <v>0</v>
      </c>
      <c r="F26" s="138">
        <v>0</v>
      </c>
      <c r="G26" s="125">
        <v>0</v>
      </c>
      <c r="H26" s="124">
        <v>0</v>
      </c>
      <c r="I26" s="138">
        <v>0</v>
      </c>
      <c r="J26" s="138">
        <v>0</v>
      </c>
      <c r="K26" s="124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9">
        <v>0</v>
      </c>
      <c r="R26" s="140">
        <v>0</v>
      </c>
    </row>
    <row r="27" spans="1:18" ht="20.25" customHeight="1">
      <c r="A27" s="136">
        <v>6</v>
      </c>
      <c r="B27" s="137" t="s">
        <v>94</v>
      </c>
      <c r="C27" s="137"/>
      <c r="D27" s="138">
        <f aca="true" t="shared" si="4" ref="D27:R27">D23+D24+D26</f>
        <v>56706088</v>
      </c>
      <c r="E27" s="138">
        <f t="shared" si="4"/>
        <v>37370217</v>
      </c>
      <c r="F27" s="138">
        <f t="shared" si="4"/>
        <v>13868249</v>
      </c>
      <c r="G27" s="125">
        <f>G23+G24+G26</f>
        <v>36977347</v>
      </c>
      <c r="H27" s="124">
        <f>H23+H24+H26</f>
        <v>45311063</v>
      </c>
      <c r="I27" s="138">
        <f t="shared" si="4"/>
        <v>74854948</v>
      </c>
      <c r="J27" s="138">
        <f t="shared" si="4"/>
        <v>38600214</v>
      </c>
      <c r="K27" s="124">
        <f t="shared" si="4"/>
        <v>21962214</v>
      </c>
      <c r="L27" s="138">
        <f>L23+L24+L26</f>
        <v>8031241</v>
      </c>
      <c r="M27" s="138">
        <f t="shared" si="4"/>
        <v>18049673</v>
      </c>
      <c r="N27" s="138">
        <f t="shared" si="4"/>
        <v>18623661</v>
      </c>
      <c r="O27" s="138">
        <f t="shared" si="4"/>
        <v>7932960</v>
      </c>
      <c r="P27" s="138">
        <f t="shared" si="4"/>
        <v>8663307</v>
      </c>
      <c r="Q27" s="139">
        <f t="shared" si="4"/>
        <v>13214620</v>
      </c>
      <c r="R27" s="140">
        <f t="shared" si="4"/>
        <v>13679207</v>
      </c>
    </row>
    <row r="28" spans="1:18" ht="20.25" customHeight="1">
      <c r="A28" s="136">
        <v>7</v>
      </c>
      <c r="B28" s="137" t="s">
        <v>95</v>
      </c>
      <c r="C28" s="137"/>
      <c r="D28" s="141">
        <f aca="true" t="shared" si="5" ref="D28:R28">D29+D33</f>
        <v>1473579</v>
      </c>
      <c r="E28" s="141">
        <f t="shared" si="5"/>
        <v>1883950</v>
      </c>
      <c r="F28" s="141">
        <f t="shared" si="5"/>
        <v>4502192</v>
      </c>
      <c r="G28" s="125">
        <f t="shared" si="5"/>
        <v>9695978</v>
      </c>
      <c r="H28" s="142">
        <f t="shared" si="5"/>
        <v>6883561</v>
      </c>
      <c r="I28" s="141">
        <f t="shared" si="5"/>
        <v>9493290.45</v>
      </c>
      <c r="J28" s="141">
        <f t="shared" si="5"/>
        <v>10048953.45</v>
      </c>
      <c r="K28" s="142">
        <f t="shared" si="5"/>
        <v>9962214.45</v>
      </c>
      <c r="L28" s="141">
        <f t="shared" si="5"/>
        <v>8031241.45</v>
      </c>
      <c r="M28" s="141">
        <f t="shared" si="5"/>
        <v>8049673.45</v>
      </c>
      <c r="N28" s="141">
        <f t="shared" si="5"/>
        <v>8623661.45</v>
      </c>
      <c r="O28" s="141">
        <f t="shared" si="5"/>
        <v>7932959.66</v>
      </c>
      <c r="P28" s="141">
        <f t="shared" si="5"/>
        <v>8663306.682500001</v>
      </c>
      <c r="Q28" s="150">
        <f t="shared" si="5"/>
        <v>8214620</v>
      </c>
      <c r="R28" s="151">
        <f t="shared" si="5"/>
        <v>8679206.8675</v>
      </c>
    </row>
    <row r="29" spans="1:19" s="51" customFormat="1" ht="36" customHeight="1">
      <c r="A29" s="152" t="s">
        <v>74</v>
      </c>
      <c r="B29" s="153" t="s">
        <v>96</v>
      </c>
      <c r="C29" s="153"/>
      <c r="D29" s="147">
        <v>1167600</v>
      </c>
      <c r="E29" s="115">
        <v>1422000</v>
      </c>
      <c r="F29" s="115">
        <v>3463314</v>
      </c>
      <c r="G29" s="114">
        <v>6940085</v>
      </c>
      <c r="H29" s="115">
        <v>4551585</v>
      </c>
      <c r="I29" s="115">
        <f>6885040+Arkusz4!F8</f>
        <v>6935040</v>
      </c>
      <c r="J29" s="115">
        <f>7216899+Arkusz4!F12+Arkusz5!F13</f>
        <v>7466899</v>
      </c>
      <c r="K29" s="115">
        <f>7056453+Arkusz4!F16+Arkusz5!F17</f>
        <v>7156453</v>
      </c>
      <c r="L29" s="115">
        <f>6100000+Arkusz4!F20+Arkusz5!F21</f>
        <v>6200000</v>
      </c>
      <c r="M29" s="115">
        <f>6200000+Arkusz4!F24+Arkusz5!F25</f>
        <v>6300000</v>
      </c>
      <c r="N29" s="115">
        <f>6776170+Arkusz4!F28+Arkusz5!F29</f>
        <v>6876170</v>
      </c>
      <c r="O29" s="115">
        <f>3011500+Arkusz4!F32+Arkusz5!F33</f>
        <v>6095360</v>
      </c>
      <c r="P29" s="115">
        <f>Arkusz4!F36+Arkusz5!F37</f>
        <v>7083855</v>
      </c>
      <c r="Q29" s="120">
        <f>Arkusz4!F40+Arkusz5!F41</f>
        <v>7083870</v>
      </c>
      <c r="R29" s="121">
        <f>Arkusz4!F44+Arkusz5!F45</f>
        <v>7600000</v>
      </c>
      <c r="S29" s="80"/>
    </row>
    <row r="30" spans="1:19" s="51" customFormat="1" ht="19.5" customHeight="1">
      <c r="A30" s="152"/>
      <c r="B30" s="154" t="s">
        <v>79</v>
      </c>
      <c r="C30" s="155" t="s">
        <v>97</v>
      </c>
      <c r="D30" s="147">
        <v>1167600</v>
      </c>
      <c r="E30" s="115">
        <v>1422000</v>
      </c>
      <c r="F30" s="115">
        <v>2963314</v>
      </c>
      <c r="G30" s="114">
        <v>3340085</v>
      </c>
      <c r="H30" s="115">
        <v>2141585</v>
      </c>
      <c r="I30" s="115">
        <v>3535040</v>
      </c>
      <c r="J30" s="115">
        <v>3866899</v>
      </c>
      <c r="K30" s="115">
        <v>3506453</v>
      </c>
      <c r="L30" s="115">
        <v>2550000</v>
      </c>
      <c r="M30" s="115">
        <v>2550000</v>
      </c>
      <c r="N30" s="115">
        <v>2401170</v>
      </c>
      <c r="O30" s="115">
        <v>262028</v>
      </c>
      <c r="P30" s="115">
        <v>1050523</v>
      </c>
      <c r="Q30" s="120">
        <v>1000000</v>
      </c>
      <c r="R30" s="121">
        <v>423949</v>
      </c>
      <c r="S30" s="80"/>
    </row>
    <row r="31" spans="1:19" s="51" customFormat="1" ht="19.5" customHeight="1">
      <c r="A31" s="152"/>
      <c r="B31" s="154"/>
      <c r="C31" s="155" t="s">
        <v>98</v>
      </c>
      <c r="D31" s="147"/>
      <c r="E31" s="115"/>
      <c r="F31" s="115">
        <v>500000</v>
      </c>
      <c r="G31" s="114">
        <v>3600000</v>
      </c>
      <c r="H31" s="115">
        <v>410000</v>
      </c>
      <c r="I31" s="115">
        <v>400000</v>
      </c>
      <c r="J31" s="115">
        <v>600000</v>
      </c>
      <c r="K31" s="115">
        <v>650000</v>
      </c>
      <c r="L31" s="115">
        <v>650000</v>
      </c>
      <c r="M31" s="115">
        <v>750000</v>
      </c>
      <c r="N31" s="115">
        <v>1475000</v>
      </c>
      <c r="O31" s="115">
        <v>833332</v>
      </c>
      <c r="P31" s="115">
        <v>3333332</v>
      </c>
      <c r="Q31" s="120">
        <v>3383870</v>
      </c>
      <c r="R31" s="121">
        <v>3024466</v>
      </c>
      <c r="S31" s="80"/>
    </row>
    <row r="32" spans="1:19" s="51" customFormat="1" ht="19.5" customHeight="1">
      <c r="A32" s="152"/>
      <c r="B32" s="154"/>
      <c r="C32" s="155" t="s">
        <v>99</v>
      </c>
      <c r="D32" s="147"/>
      <c r="E32" s="115"/>
      <c r="F32" s="115"/>
      <c r="G32" s="114"/>
      <c r="H32" s="115">
        <v>2000000</v>
      </c>
      <c r="I32" s="115">
        <v>3000000</v>
      </c>
      <c r="J32" s="115">
        <v>3000000</v>
      </c>
      <c r="K32" s="115">
        <v>3000000</v>
      </c>
      <c r="L32" s="115">
        <v>3000000</v>
      </c>
      <c r="M32" s="115">
        <v>3000000</v>
      </c>
      <c r="N32" s="115">
        <v>3000000</v>
      </c>
      <c r="O32" s="115">
        <v>5000000</v>
      </c>
      <c r="P32" s="115">
        <v>2700000</v>
      </c>
      <c r="Q32" s="120">
        <v>2700000</v>
      </c>
      <c r="R32" s="121">
        <v>4151585</v>
      </c>
      <c r="S32" s="80"/>
    </row>
    <row r="33" spans="1:18" ht="20.25" customHeight="1">
      <c r="A33" s="110" t="s">
        <v>76</v>
      </c>
      <c r="B33" s="111" t="s">
        <v>100</v>
      </c>
      <c r="C33" s="111"/>
      <c r="D33" s="112">
        <v>305979</v>
      </c>
      <c r="E33" s="113">
        <v>461950</v>
      </c>
      <c r="F33" s="113">
        <v>1038878</v>
      </c>
      <c r="G33" s="114">
        <v>2755893</v>
      </c>
      <c r="H33" s="115">
        <v>2331976</v>
      </c>
      <c r="I33" s="113">
        <f>1120952+Arkusz4!G8</f>
        <v>2558250.45</v>
      </c>
      <c r="J33" s="113">
        <f>803506+Arkusz4!G12+Arkusz5!G13</f>
        <v>2582054.45</v>
      </c>
      <c r="K33" s="115">
        <f>1375463+Arkusz4!G16</f>
        <v>2805761.45</v>
      </c>
      <c r="L33" s="113">
        <f>74568+Arkusz4!G20+Arkusz5!G21</f>
        <v>1831241.4500000002</v>
      </c>
      <c r="M33" s="113">
        <f>Arkusz4!G24+Arkusz5!G25</f>
        <v>1749673.4500000002</v>
      </c>
      <c r="N33" s="113">
        <f>4818+Arkusz4!G28+Arkusz5!G29</f>
        <v>1747491.4500000002</v>
      </c>
      <c r="O33" s="113">
        <f>180403+Arkusz4!G32+Arkusz5!G33</f>
        <v>1837599.6600000001</v>
      </c>
      <c r="P33" s="113">
        <f>180403+Arkusz4!G36+Arkusz5!G37</f>
        <v>1579451.6825</v>
      </c>
      <c r="Q33" s="116">
        <f>Arkusz4!G44+Arkusz5!G45+800000</f>
        <v>1130750</v>
      </c>
      <c r="R33" s="117">
        <f>180403+Arkusz4!G40+Arkusz5!G41</f>
        <v>1079206.8675</v>
      </c>
    </row>
    <row r="34" spans="1:18" ht="20.25" customHeight="1">
      <c r="A34" s="136">
        <v>8</v>
      </c>
      <c r="B34" s="137" t="s">
        <v>101</v>
      </c>
      <c r="C34" s="137"/>
      <c r="D34" s="141">
        <v>0</v>
      </c>
      <c r="E34" s="138">
        <v>0</v>
      </c>
      <c r="F34" s="138">
        <v>0</v>
      </c>
      <c r="G34" s="125">
        <v>40000</v>
      </c>
      <c r="H34" s="124">
        <v>0</v>
      </c>
      <c r="I34" s="138">
        <v>0</v>
      </c>
      <c r="J34" s="138">
        <v>0</v>
      </c>
      <c r="K34" s="124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9">
        <v>0</v>
      </c>
      <c r="R34" s="140">
        <v>0</v>
      </c>
    </row>
    <row r="35" spans="1:18" ht="28.5" customHeight="1">
      <c r="A35" s="122">
        <v>9</v>
      </c>
      <c r="B35" s="123" t="s">
        <v>102</v>
      </c>
      <c r="C35" s="123"/>
      <c r="D35" s="124">
        <f aca="true" t="shared" si="6" ref="D35:R35">D27-D28-D34</f>
        <v>55232509</v>
      </c>
      <c r="E35" s="124">
        <f t="shared" si="6"/>
        <v>35486267</v>
      </c>
      <c r="F35" s="124">
        <f t="shared" si="6"/>
        <v>9366057</v>
      </c>
      <c r="G35" s="125">
        <f t="shared" si="6"/>
        <v>27241369</v>
      </c>
      <c r="H35" s="124">
        <f t="shared" si="6"/>
        <v>38427502</v>
      </c>
      <c r="I35" s="124">
        <f t="shared" si="6"/>
        <v>65361657.55</v>
      </c>
      <c r="J35" s="124">
        <f t="shared" si="6"/>
        <v>28551260.55</v>
      </c>
      <c r="K35" s="124">
        <f t="shared" si="6"/>
        <v>11999999.55</v>
      </c>
      <c r="L35" s="124">
        <f t="shared" si="6"/>
        <v>-0.4500000001862645</v>
      </c>
      <c r="M35" s="124">
        <f t="shared" si="6"/>
        <v>9999999.55</v>
      </c>
      <c r="N35" s="124">
        <f t="shared" si="6"/>
        <v>9999999.55</v>
      </c>
      <c r="O35" s="124">
        <f t="shared" si="6"/>
        <v>0.3399999998509884</v>
      </c>
      <c r="P35" s="124">
        <f t="shared" si="6"/>
        <v>0.3174999989569187</v>
      </c>
      <c r="Q35" s="126">
        <f t="shared" si="6"/>
        <v>5000000</v>
      </c>
      <c r="R35" s="127">
        <f t="shared" si="6"/>
        <v>5000000.1325</v>
      </c>
    </row>
    <row r="36" spans="1:18" ht="20.25" customHeight="1">
      <c r="A36" s="122">
        <v>10</v>
      </c>
      <c r="B36" s="123" t="s">
        <v>103</v>
      </c>
      <c r="C36" s="123"/>
      <c r="D36" s="142">
        <v>38733128.64</v>
      </c>
      <c r="E36" s="124">
        <v>43312675.57</v>
      </c>
      <c r="F36" s="124">
        <v>33260582</v>
      </c>
      <c r="G36" s="125">
        <v>36241369</v>
      </c>
      <c r="H36" s="124">
        <v>58979087</v>
      </c>
      <c r="I36" s="124">
        <f aca="true" t="shared" si="7" ref="I36:P36">I37</f>
        <v>70361658</v>
      </c>
      <c r="J36" s="124">
        <f>J37</f>
        <v>28551261</v>
      </c>
      <c r="K36" s="124">
        <f t="shared" si="7"/>
        <v>12000000</v>
      </c>
      <c r="L36" s="124">
        <f t="shared" si="7"/>
        <v>0</v>
      </c>
      <c r="M36" s="124">
        <v>10000000</v>
      </c>
      <c r="N36" s="124">
        <v>10000000</v>
      </c>
      <c r="O36" s="124">
        <f t="shared" si="7"/>
        <v>0</v>
      </c>
      <c r="P36" s="124">
        <f t="shared" si="7"/>
        <v>0</v>
      </c>
      <c r="Q36" s="124">
        <v>5000000</v>
      </c>
      <c r="R36" s="124">
        <v>5000000</v>
      </c>
    </row>
    <row r="37" spans="1:18" ht="29.25" customHeight="1">
      <c r="A37" s="110" t="s">
        <v>74</v>
      </c>
      <c r="B37" s="156" t="s">
        <v>79</v>
      </c>
      <c r="C37" s="119" t="s">
        <v>104</v>
      </c>
      <c r="D37" s="112" t="s">
        <v>89</v>
      </c>
      <c r="E37" s="113" t="s">
        <v>89</v>
      </c>
      <c r="F37" s="113" t="s">
        <v>89</v>
      </c>
      <c r="G37" s="132" t="s">
        <v>89</v>
      </c>
      <c r="H37" s="115">
        <f>'Wykaz przedsięwzięć'!J12</f>
        <v>43411788</v>
      </c>
      <c r="I37" s="115">
        <f>'Wykaz przedsięwzięć'!K12</f>
        <v>70361658</v>
      </c>
      <c r="J37" s="115">
        <f>'Wykaz przedsięwzięć'!L12</f>
        <v>28551261</v>
      </c>
      <c r="K37" s="115">
        <f>'Wykaz przedsięwzięć'!M12</f>
        <v>12000000</v>
      </c>
      <c r="L37" s="115">
        <v>0</v>
      </c>
      <c r="M37" s="115"/>
      <c r="N37" s="115"/>
      <c r="O37" s="115"/>
      <c r="P37" s="115"/>
      <c r="Q37" s="120"/>
      <c r="R37" s="121"/>
    </row>
    <row r="38" spans="1:18" ht="12.75">
      <c r="A38" s="157"/>
      <c r="B38" s="158"/>
      <c r="C38" s="159"/>
      <c r="D38" s="160"/>
      <c r="E38" s="161"/>
      <c r="F38" s="161"/>
      <c r="G38" s="162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:18" ht="12.75">
      <c r="A39" s="164"/>
      <c r="B39" s="165"/>
      <c r="C39" s="166"/>
      <c r="D39" s="167"/>
      <c r="E39" s="168"/>
      <c r="F39" s="168"/>
      <c r="G39" s="169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18" ht="12.75">
      <c r="A40" s="164"/>
      <c r="B40" s="165"/>
      <c r="C40" s="166"/>
      <c r="D40" s="167"/>
      <c r="E40" s="168"/>
      <c r="F40" s="168"/>
      <c r="G40" s="16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1:18" ht="14.25" customHeight="1">
      <c r="A41" s="99" t="s">
        <v>67</v>
      </c>
      <c r="B41" s="100" t="s">
        <v>68</v>
      </c>
      <c r="C41" s="100"/>
      <c r="D41" s="101" t="s">
        <v>69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14.25" customHeight="1">
      <c r="A42" s="99"/>
      <c r="B42" s="100"/>
      <c r="C42" s="100"/>
      <c r="D42" s="101" t="s">
        <v>70</v>
      </c>
      <c r="E42" s="101"/>
      <c r="F42" s="101"/>
      <c r="G42" s="102" t="s">
        <v>71</v>
      </c>
      <c r="H42" s="101" t="s">
        <v>72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12.75">
      <c r="A43" s="99"/>
      <c r="B43" s="100"/>
      <c r="C43" s="100"/>
      <c r="D43" s="99">
        <v>2007</v>
      </c>
      <c r="E43" s="99">
        <v>2008</v>
      </c>
      <c r="F43" s="99">
        <v>2009</v>
      </c>
      <c r="G43" s="102"/>
      <c r="H43" s="99">
        <v>2011</v>
      </c>
      <c r="I43" s="99">
        <v>2012</v>
      </c>
      <c r="J43" s="99">
        <v>2013</v>
      </c>
      <c r="K43" s="99">
        <v>2014</v>
      </c>
      <c r="L43" s="99">
        <v>2015</v>
      </c>
      <c r="M43" s="99">
        <v>2016</v>
      </c>
      <c r="N43" s="99">
        <v>2017</v>
      </c>
      <c r="O43" s="99">
        <v>2018</v>
      </c>
      <c r="P43" s="99">
        <v>2019</v>
      </c>
      <c r="Q43" s="99">
        <v>2020</v>
      </c>
      <c r="R43" s="99">
        <v>2021</v>
      </c>
    </row>
    <row r="44" spans="1:18" ht="12.75">
      <c r="A44" s="99"/>
      <c r="B44" s="100"/>
      <c r="C44" s="100"/>
      <c r="D44" s="99"/>
      <c r="E44" s="99"/>
      <c r="F44" s="99"/>
      <c r="G44" s="102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ht="32.25" customHeight="1">
      <c r="A45" s="136">
        <v>11</v>
      </c>
      <c r="B45" s="137" t="s">
        <v>105</v>
      </c>
      <c r="C45" s="137"/>
      <c r="D45" s="141">
        <v>3355000</v>
      </c>
      <c r="E45" s="138">
        <v>11546170</v>
      </c>
      <c r="F45" s="138">
        <v>25140000</v>
      </c>
      <c r="G45" s="125">
        <v>9000000</v>
      </c>
      <c r="H45" s="138">
        <v>20551585</v>
      </c>
      <c r="I45" s="138">
        <v>5000000</v>
      </c>
      <c r="J45" s="138">
        <v>0</v>
      </c>
      <c r="K45" s="124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9">
        <v>0</v>
      </c>
      <c r="R45" s="140">
        <v>0</v>
      </c>
    </row>
    <row r="46" spans="1:18" ht="21" customHeight="1">
      <c r="A46" s="171"/>
      <c r="B46" s="154" t="s">
        <v>79</v>
      </c>
      <c r="C46" s="155" t="s">
        <v>97</v>
      </c>
      <c r="D46" s="113">
        <v>3355000</v>
      </c>
      <c r="E46" s="113">
        <v>7546170</v>
      </c>
      <c r="F46" s="113">
        <v>6330000</v>
      </c>
      <c r="G46" s="113"/>
      <c r="H46" s="113">
        <v>3000000</v>
      </c>
      <c r="I46" s="113">
        <v>5000000</v>
      </c>
      <c r="J46" s="172"/>
      <c r="K46" s="173"/>
      <c r="L46" s="172"/>
      <c r="M46" s="172"/>
      <c r="N46" s="172"/>
      <c r="O46" s="172"/>
      <c r="P46" s="172"/>
      <c r="Q46" s="174"/>
      <c r="R46" s="175"/>
    </row>
    <row r="47" spans="1:18" ht="21" customHeight="1">
      <c r="A47" s="171"/>
      <c r="B47" s="154"/>
      <c r="C47" s="155" t="s">
        <v>98</v>
      </c>
      <c r="D47" s="113"/>
      <c r="E47" s="113">
        <v>4000000</v>
      </c>
      <c r="F47" s="113">
        <v>4810000</v>
      </c>
      <c r="G47" s="113"/>
      <c r="H47" s="113">
        <v>6000000</v>
      </c>
      <c r="I47" s="113"/>
      <c r="J47" s="172"/>
      <c r="K47" s="173"/>
      <c r="L47" s="172"/>
      <c r="M47" s="172"/>
      <c r="N47" s="172"/>
      <c r="O47" s="172"/>
      <c r="P47" s="172"/>
      <c r="Q47" s="174"/>
      <c r="R47" s="175"/>
    </row>
    <row r="48" spans="1:18" ht="21" customHeight="1">
      <c r="A48" s="171"/>
      <c r="B48" s="154"/>
      <c r="C48" s="155" t="s">
        <v>106</v>
      </c>
      <c r="D48" s="113"/>
      <c r="E48" s="113"/>
      <c r="F48" s="113">
        <v>14000000</v>
      </c>
      <c r="G48" s="113">
        <v>9000000</v>
      </c>
      <c r="H48" s="113">
        <v>11551585</v>
      </c>
      <c r="I48" s="113"/>
      <c r="J48" s="172"/>
      <c r="K48" s="173"/>
      <c r="L48" s="172"/>
      <c r="M48" s="172"/>
      <c r="N48" s="172"/>
      <c r="O48" s="172"/>
      <c r="P48" s="172"/>
      <c r="Q48" s="174"/>
      <c r="R48" s="175"/>
    </row>
    <row r="49" spans="1:18" ht="50.25" customHeight="1">
      <c r="A49" s="171"/>
      <c r="B49" s="154"/>
      <c r="C49" s="176" t="s">
        <v>107</v>
      </c>
      <c r="D49" s="113">
        <v>13695715</v>
      </c>
      <c r="E49" s="113">
        <v>15733115</v>
      </c>
      <c r="F49" s="113">
        <v>3719761</v>
      </c>
      <c r="G49" s="113">
        <v>1245475</v>
      </c>
      <c r="H49" s="113"/>
      <c r="I49" s="113"/>
      <c r="J49" s="172"/>
      <c r="K49" s="173"/>
      <c r="L49" s="172"/>
      <c r="M49" s="172"/>
      <c r="N49" s="172"/>
      <c r="O49" s="172"/>
      <c r="P49" s="172"/>
      <c r="Q49" s="174"/>
      <c r="R49" s="175"/>
    </row>
    <row r="50" spans="1:18" ht="21" customHeight="1">
      <c r="A50" s="171"/>
      <c r="B50" s="154"/>
      <c r="C50" s="177" t="s">
        <v>108</v>
      </c>
      <c r="D50" s="113">
        <v>22633590</v>
      </c>
      <c r="E50" s="113">
        <v>4121265</v>
      </c>
      <c r="F50" s="113"/>
      <c r="G50" s="113"/>
      <c r="H50" s="113"/>
      <c r="I50" s="113"/>
      <c r="J50" s="172"/>
      <c r="K50" s="173"/>
      <c r="L50" s="172"/>
      <c r="M50" s="172"/>
      <c r="N50" s="172"/>
      <c r="O50" s="172"/>
      <c r="P50" s="172"/>
      <c r="Q50" s="174"/>
      <c r="R50" s="175"/>
    </row>
    <row r="51" spans="1:18" ht="34.5" customHeight="1">
      <c r="A51" s="178">
        <v>12</v>
      </c>
      <c r="B51" s="179" t="s">
        <v>109</v>
      </c>
      <c r="C51" s="179"/>
      <c r="D51" s="180">
        <f aca="true" t="shared" si="8" ref="D51:K51">D35-D36+D45</f>
        <v>19854380.36</v>
      </c>
      <c r="E51" s="180">
        <f t="shared" si="8"/>
        <v>3719761.4299999997</v>
      </c>
      <c r="F51" s="180">
        <f t="shared" si="8"/>
        <v>1245475</v>
      </c>
      <c r="G51" s="125">
        <f t="shared" si="8"/>
        <v>0</v>
      </c>
      <c r="H51" s="181">
        <f t="shared" si="8"/>
        <v>0</v>
      </c>
      <c r="I51" s="181">
        <f t="shared" si="8"/>
        <v>-0.45000000298023224</v>
      </c>
      <c r="J51" s="181">
        <f t="shared" si="8"/>
        <v>-0.44999999925494194</v>
      </c>
      <c r="K51" s="181">
        <f t="shared" si="8"/>
        <v>-0.44999999925494194</v>
      </c>
      <c r="L51" s="180">
        <f aca="true" t="shared" si="9" ref="L51:R51">L35-L36-L45</f>
        <v>-0.4500000001862645</v>
      </c>
      <c r="M51" s="180">
        <f t="shared" si="9"/>
        <v>-0.44999999925494194</v>
      </c>
      <c r="N51" s="180">
        <f t="shared" si="9"/>
        <v>-0.44999999925494194</v>
      </c>
      <c r="O51" s="180">
        <f t="shared" si="9"/>
        <v>0.3399999998509884</v>
      </c>
      <c r="P51" s="180">
        <f t="shared" si="9"/>
        <v>0.3174999989569187</v>
      </c>
      <c r="Q51" s="182">
        <f t="shared" si="9"/>
        <v>0</v>
      </c>
      <c r="R51" s="183">
        <f t="shared" si="9"/>
        <v>0.13250000029802322</v>
      </c>
    </row>
    <row r="52" spans="1:19" ht="22.5" customHeight="1">
      <c r="A52" s="184">
        <v>13</v>
      </c>
      <c r="B52" s="185" t="s">
        <v>110</v>
      </c>
      <c r="C52" s="185"/>
      <c r="D52" s="141">
        <f>'Prognoza długu'!C10</f>
        <v>15733115</v>
      </c>
      <c r="E52" s="141">
        <f>'Prognoza długu'!D10</f>
        <v>24061046</v>
      </c>
      <c r="F52" s="141">
        <f>'Prognoza długu'!E10</f>
        <v>45737732</v>
      </c>
      <c r="G52" s="125">
        <f>'Prognoza długu'!F10</f>
        <v>47797647</v>
      </c>
      <c r="H52" s="141">
        <f>'Prognoza długu'!G10</f>
        <v>63797647</v>
      </c>
      <c r="I52" s="141">
        <f>'Prognoza długu'!H10</f>
        <v>61862607</v>
      </c>
      <c r="J52" s="141">
        <f>'Prognoza długu'!I10</f>
        <v>54395708</v>
      </c>
      <c r="K52" s="141">
        <f>'Prognoza długu'!J10</f>
        <v>47239255</v>
      </c>
      <c r="L52" s="141">
        <f>'Prognoza długu'!K10</f>
        <v>41039255</v>
      </c>
      <c r="M52" s="141">
        <f>'Prognoza długu'!L10</f>
        <v>34739255</v>
      </c>
      <c r="N52" s="141">
        <f>'Prognoza długu'!M10</f>
        <v>27863085</v>
      </c>
      <c r="O52" s="141">
        <f>'Prognoza długu'!N10</f>
        <v>21767725</v>
      </c>
      <c r="P52" s="141">
        <f>'Prognoza długu'!O10</f>
        <v>14683870</v>
      </c>
      <c r="Q52" s="150">
        <f>'Prognoza długu'!P10</f>
        <v>7600000</v>
      </c>
      <c r="R52" s="151">
        <f>'Prognoza długu'!Q10</f>
        <v>0</v>
      </c>
      <c r="S52" s="186"/>
    </row>
    <row r="53" spans="1:18" ht="65.25" customHeight="1">
      <c r="A53" s="187"/>
      <c r="B53" s="188" t="s">
        <v>79</v>
      </c>
      <c r="C53" s="189" t="s">
        <v>111</v>
      </c>
      <c r="D53" s="138">
        <v>0</v>
      </c>
      <c r="E53" s="138">
        <v>0</v>
      </c>
      <c r="F53" s="138">
        <v>0</v>
      </c>
      <c r="G53" s="190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</row>
    <row r="54" spans="1:18" ht="66" customHeight="1">
      <c r="A54" s="187"/>
      <c r="B54" s="188"/>
      <c r="C54" s="189" t="s">
        <v>112</v>
      </c>
      <c r="D54" s="138">
        <v>0</v>
      </c>
      <c r="E54" s="138">
        <v>0</v>
      </c>
      <c r="F54" s="138">
        <v>0</v>
      </c>
      <c r="G54" s="190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</row>
    <row r="55" spans="1:18" ht="66" customHeight="1">
      <c r="A55" s="184">
        <v>14</v>
      </c>
      <c r="B55" s="191" t="s">
        <v>113</v>
      </c>
      <c r="C55" s="191"/>
      <c r="D55" s="138">
        <v>0</v>
      </c>
      <c r="E55" s="138">
        <v>0</v>
      </c>
      <c r="F55" s="138">
        <v>0</v>
      </c>
      <c r="G55" s="190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</row>
    <row r="56" spans="1:18" ht="41.25" customHeight="1">
      <c r="A56" s="184">
        <v>15</v>
      </c>
      <c r="B56" s="191" t="s">
        <v>114</v>
      </c>
      <c r="C56" s="191"/>
      <c r="D56" s="192">
        <f aca="true" t="shared" si="10" ref="D56:J56">D28/D13*100</f>
        <v>1.959634752176012</v>
      </c>
      <c r="E56" s="192">
        <f t="shared" si="10"/>
        <v>2.328259487896857</v>
      </c>
      <c r="F56" s="192">
        <f t="shared" si="10"/>
        <v>5.510659630018439</v>
      </c>
      <c r="G56" s="193">
        <f t="shared" si="10"/>
        <v>8.0731052647057</v>
      </c>
      <c r="H56" s="192">
        <f t="shared" si="10"/>
        <v>5.55859895606181</v>
      </c>
      <c r="I56" s="192">
        <f t="shared" si="10"/>
        <v>6.127227854944264</v>
      </c>
      <c r="J56" s="192">
        <f t="shared" si="10"/>
        <v>8.24459613200548</v>
      </c>
      <c r="K56" s="192"/>
      <c r="L56" s="192"/>
      <c r="M56" s="192"/>
      <c r="N56" s="192"/>
      <c r="O56" s="192"/>
      <c r="P56" s="192"/>
      <c r="Q56" s="192"/>
      <c r="R56" s="194"/>
    </row>
    <row r="57" spans="1:18" ht="39" customHeight="1">
      <c r="A57" s="184">
        <v>16</v>
      </c>
      <c r="B57" s="191" t="s">
        <v>115</v>
      </c>
      <c r="C57" s="191"/>
      <c r="D57" s="192">
        <f aca="true" t="shared" si="11" ref="D57:J57">D52/D13*100</f>
        <v>20.922637275627366</v>
      </c>
      <c r="E57" s="192">
        <f t="shared" si="11"/>
        <v>29.735586739681374</v>
      </c>
      <c r="F57" s="192">
        <f t="shared" si="11"/>
        <v>55.98274647127499</v>
      </c>
      <c r="G57" s="193">
        <f t="shared" si="11"/>
        <v>39.797474337941416</v>
      </c>
      <c r="H57" s="192">
        <f t="shared" si="11"/>
        <v>51.51774408818341</v>
      </c>
      <c r="I57" s="195">
        <f t="shared" si="11"/>
        <v>39.92780909698913</v>
      </c>
      <c r="J57" s="195">
        <f t="shared" si="11"/>
        <v>44.62859202263492</v>
      </c>
      <c r="K57" s="195"/>
      <c r="L57" s="195"/>
      <c r="M57" s="195"/>
      <c r="N57" s="195"/>
      <c r="O57" s="195"/>
      <c r="P57" s="195"/>
      <c r="Q57" s="195"/>
      <c r="R57" s="195"/>
    </row>
    <row r="58" spans="1:18" ht="59.25" customHeight="1">
      <c r="A58" s="196">
        <v>17</v>
      </c>
      <c r="B58" s="191" t="s">
        <v>116</v>
      </c>
      <c r="C58" s="191"/>
      <c r="D58" s="197" t="s">
        <v>78</v>
      </c>
      <c r="E58" s="197" t="s">
        <v>78</v>
      </c>
      <c r="F58" s="197" t="s">
        <v>78</v>
      </c>
      <c r="G58" s="198">
        <f>1/3*((D14+D16-'Prognoza długu'!C25)/WPF!D13+(WPF!E14+WPF!E16-'Prognoza długu'!D25)/WPF!E13+(WPF!F14+WPF!F16-'Prognoza długu'!E25)/WPF!F13)</f>
        <v>0.1910646731760649</v>
      </c>
      <c r="H58" s="197">
        <f>1/3*((E14+E16-'Prognoza długu'!D25)/WPF!E13+(WPF!F14+WPF!F16-'Prognoza długu'!E25)/WPF!F13+(WPF!G14+WPF!G16-'Prognoza długu'!F25)/WPF!G13)</f>
        <v>0.16564752089772639</v>
      </c>
      <c r="I58" s="197">
        <f>1/3*((F14+F16-'Prognoza długu'!E25)/WPF!F13+(WPF!G14+WPF!G16-'Prognoza długu'!F25)/WPF!G13+(WPF!H14+WPF!H16-'Prognoza długu'!G25)/WPF!H13)</f>
        <v>0.14398784833227085</v>
      </c>
      <c r="J58" s="197">
        <f>1/3*((G14+G16-'Prognoza długu'!F25)/WPF!G13+(WPF!H14+WPF!H16-'Prognoza długu'!G25)/WPF!H13+(WPF!I14+WPF!I16-'Prognoza długu'!H25)/WPF!I13)</f>
        <v>0.16760120646212232</v>
      </c>
      <c r="K58" s="197">
        <f>1/3*((H14+H16-'Prognoza długu'!G25)/WPF!H13+(WPF!I14+WPF!I16-'Prognoza długu'!H25)/WPF!I13+(WPF!J14+WPF!J16-'Prognoza długu'!I25)/WPF!J13)</f>
        <v>0.15289722533921707</v>
      </c>
      <c r="L58" s="197">
        <f>1/3*((I14+I16-'Prognoza długu'!H25)/WPF!I13+(WPF!J14+WPF!J16-'Prognoza długu'!I25)/WPF!J13+(WPF!K14+WPF!K16-'Prognoza długu'!J25)/WPF!K13)</f>
        <v>0.12648817293015058</v>
      </c>
      <c r="M58" s="197">
        <f>1/3*((J14+J16-'Prognoza długu'!I25)/WPF!J13+(WPF!K14+WPF!K16-'Prognoza długu'!J25)/WPF!K13+(WPF!L14+WPF!L16-'Prognoza długu'!K25)/WPF!L13)</f>
        <v>0.08983903061141818</v>
      </c>
      <c r="N58" s="197">
        <f>1/3*((K14+K16-'Prognoza długu'!J25)/WPF!K13+(WPF!L14+WPF!L16-'Prognoza długu'!K25)/WPF!L13+(WPF!M14+WPF!M16-'Prognoza długu'!L25)/WPF!M13)</f>
        <v>0.09056377458055116</v>
      </c>
      <c r="O58" s="197">
        <f>1/3*((L14+L16-'Prognoza długu'!K25)/WPF!L13+(WPF!M14+WPF!M16-'Prognoza długu'!L25)/WPF!M13+(WPF!N14+WPF!N16-'Prognoza długu'!M25)/WPF!N13)</f>
        <v>0.11607092111781227</v>
      </c>
      <c r="P58" s="197">
        <f>1/3*((M14+M16-'Prognoza długu'!L25)/WPF!M13+(WPF!N14+WPF!N16-'Prognoza długu'!M25)/WPF!N13+(WPF!O14+WPF!O16-'Prognoza długu'!N25)/WPF!O13)</f>
        <v>0.11340832870793495</v>
      </c>
      <c r="Q58" s="197">
        <f>1/3*((N14+N16-'Prognoza długu'!M25)/WPF!N13+(WPF!O14+WPF!O16-'Prognoza długu'!N25)/WPF!O13+(WPF!P14+WPF!P16-'Prognoza długu'!O25)/WPF!P13)</f>
        <v>0.08583968536488815</v>
      </c>
      <c r="R58" s="197">
        <f>1/3*((O14+O16-'Prognoza długu'!N25)/WPF!O13+(WPF!P14+WPF!P16-'Prognoza długu'!O25)/WPF!P13+(WPF!Q14+WPF!Q16-'Prognoza długu'!P25)/WPF!Q13)</f>
        <v>0.07164497757496247</v>
      </c>
    </row>
    <row r="59" spans="1:18" ht="33.75" customHeight="1">
      <c r="A59" s="196">
        <v>18</v>
      </c>
      <c r="B59" s="191" t="s">
        <v>117</v>
      </c>
      <c r="C59" s="191"/>
      <c r="D59" s="199">
        <f>D28/D13</f>
        <v>0.01959634752176012</v>
      </c>
      <c r="E59" s="199">
        <f aca="true" t="shared" si="12" ref="E59:R59">E28/E13</f>
        <v>0.023282594878968572</v>
      </c>
      <c r="F59" s="199">
        <f t="shared" si="12"/>
        <v>0.055106596300184385</v>
      </c>
      <c r="G59" s="200">
        <f t="shared" si="12"/>
        <v>0.08073105264705699</v>
      </c>
      <c r="H59" s="199">
        <f t="shared" si="12"/>
        <v>0.0555859895606181</v>
      </c>
      <c r="I59" s="199">
        <f t="shared" si="12"/>
        <v>0.061272278549442644</v>
      </c>
      <c r="J59" s="199">
        <f t="shared" si="12"/>
        <v>0.0824459613200548</v>
      </c>
      <c r="K59" s="199">
        <f t="shared" si="12"/>
        <v>0.0923887210990523</v>
      </c>
      <c r="L59" s="199">
        <f t="shared" si="12"/>
        <v>0.08050696844501391</v>
      </c>
      <c r="M59" s="199">
        <f t="shared" si="12"/>
        <v>0.07070517748905276</v>
      </c>
      <c r="N59" s="199">
        <f t="shared" si="12"/>
        <v>0.07301615225738838</v>
      </c>
      <c r="O59" s="199">
        <f t="shared" si="12"/>
        <v>0.07049102889355154</v>
      </c>
      <c r="P59" s="199">
        <f t="shared" si="12"/>
        <v>0.07394887320648215</v>
      </c>
      <c r="Q59" s="199">
        <f t="shared" si="12"/>
        <v>0.06818781870823454</v>
      </c>
      <c r="R59" s="199">
        <f t="shared" si="12"/>
        <v>0.0659440132905741</v>
      </c>
    </row>
    <row r="60" spans="1:18" ht="46.5" customHeight="1">
      <c r="A60" s="196">
        <v>19</v>
      </c>
      <c r="B60" s="191" t="s">
        <v>118</v>
      </c>
      <c r="C60" s="191"/>
      <c r="D60" s="197" t="s">
        <v>78</v>
      </c>
      <c r="E60" s="197" t="s">
        <v>78</v>
      </c>
      <c r="F60" s="197" t="s">
        <v>78</v>
      </c>
      <c r="G60" s="198">
        <f>G58-G59</f>
        <v>0.11033362052900791</v>
      </c>
      <c r="H60" s="198">
        <f aca="true" t="shared" si="13" ref="H60:R60">H58-H59</f>
        <v>0.11006153133710828</v>
      </c>
      <c r="I60" s="198">
        <f t="shared" si="13"/>
        <v>0.08271556978282821</v>
      </c>
      <c r="J60" s="198">
        <f t="shared" si="13"/>
        <v>0.08515524514206751</v>
      </c>
      <c r="K60" s="198">
        <f t="shared" si="13"/>
        <v>0.06050850424016477</v>
      </c>
      <c r="L60" s="198">
        <f t="shared" si="13"/>
        <v>0.045981204485136665</v>
      </c>
      <c r="M60" s="198">
        <f t="shared" si="13"/>
        <v>0.019133853122365416</v>
      </c>
      <c r="N60" s="198">
        <f t="shared" si="13"/>
        <v>0.017547622323162787</v>
      </c>
      <c r="O60" s="198">
        <f t="shared" si="13"/>
        <v>0.04557989222426073</v>
      </c>
      <c r="P60" s="198">
        <f t="shared" si="13"/>
        <v>0.0394594555014528</v>
      </c>
      <c r="Q60" s="198">
        <f t="shared" si="13"/>
        <v>0.01765186665665361</v>
      </c>
      <c r="R60" s="198">
        <f t="shared" si="13"/>
        <v>0.005700964284388363</v>
      </c>
    </row>
    <row r="61" spans="1:18" ht="20.25" customHeight="1">
      <c r="A61" s="196">
        <v>20</v>
      </c>
      <c r="B61" s="191" t="s">
        <v>119</v>
      </c>
      <c r="C61" s="191"/>
      <c r="D61" s="201">
        <f>'Prognoza długu'!C24</f>
        <v>93858939.64</v>
      </c>
      <c r="E61" s="201">
        <f>'Prognoza długu'!D24</f>
        <v>107175456.57</v>
      </c>
      <c r="F61" s="201">
        <f>'Prognoza długu'!E24</f>
        <v>105850665</v>
      </c>
      <c r="G61" s="201">
        <f>'Prognoza długu'!F24</f>
        <v>123367602</v>
      </c>
      <c r="H61" s="201">
        <f>'Prognoza długu'!G24</f>
        <v>139836259</v>
      </c>
      <c r="I61" s="201">
        <f>'Prognoza długu'!H24</f>
        <v>153001102.45</v>
      </c>
      <c r="J61" s="201">
        <f>'Prognoza długu'!I24</f>
        <v>114418434.45</v>
      </c>
      <c r="K61" s="201">
        <f>'Prognoza długu'!J24</f>
        <v>100672883.45</v>
      </c>
      <c r="L61" s="201">
        <f>'Prognoza długu'!K24</f>
        <v>93558339.45</v>
      </c>
      <c r="M61" s="201">
        <f>'Prognoza długu'!L24</f>
        <v>107548430.45</v>
      </c>
      <c r="N61" s="201">
        <f>'Prognoza długu'!M24</f>
        <v>111230046.45</v>
      </c>
      <c r="O61" s="201">
        <f>'Prognoza długu'!N24</f>
        <v>106443210.66</v>
      </c>
      <c r="P61" s="201">
        <f>'Prognoza długu'!O24</f>
        <v>110068797.6825</v>
      </c>
      <c r="Q61" s="201">
        <f>'Prognoza długu'!P24</f>
        <v>113386621</v>
      </c>
      <c r="R61" s="201">
        <f>'Prognoza długu'!Q24</f>
        <v>124014780.8675</v>
      </c>
    </row>
    <row r="62" spans="1:18" ht="20.25" customHeight="1">
      <c r="A62" s="196">
        <v>21</v>
      </c>
      <c r="B62" s="191" t="s">
        <v>120</v>
      </c>
      <c r="C62" s="191"/>
      <c r="D62" s="201">
        <f>'Prognoza długu'!C25</f>
        <v>55125811</v>
      </c>
      <c r="E62" s="201">
        <f>'Prognoza długu'!D25</f>
        <v>63862781</v>
      </c>
      <c r="F62" s="201">
        <f>'Prognoza długu'!E25</f>
        <v>72590083</v>
      </c>
      <c r="G62" s="201">
        <f>'Prognoza długu'!F25</f>
        <v>87126233</v>
      </c>
      <c r="H62" s="201">
        <f>'Prognoza długu'!G25</f>
        <v>80857172</v>
      </c>
      <c r="I62" s="201">
        <f>'Prognoza długu'!H25</f>
        <v>82639444.45</v>
      </c>
      <c r="J62" s="201">
        <f>'Prognoza długu'!I25</f>
        <v>85867173.45</v>
      </c>
      <c r="K62" s="201">
        <f>'Prognoza długu'!J25</f>
        <v>88672883.45</v>
      </c>
      <c r="L62" s="201">
        <f>'Prognoza długu'!K25</f>
        <v>93558339.45</v>
      </c>
      <c r="M62" s="201">
        <f>'Prognoza długu'!L25</f>
        <v>97548430.45</v>
      </c>
      <c r="N62" s="201">
        <f>'Prognoza długu'!M25</f>
        <v>101230046.45</v>
      </c>
      <c r="O62" s="201">
        <f>'Prognoza długu'!N25</f>
        <v>106443210.66</v>
      </c>
      <c r="P62" s="201">
        <f>'Prognoza długu'!O25</f>
        <v>110068797.6825</v>
      </c>
      <c r="Q62" s="201">
        <f>'Prognoza długu'!P25</f>
        <v>108386621</v>
      </c>
      <c r="R62" s="201">
        <f>'Prognoza długu'!Q25</f>
        <v>119014780.8675</v>
      </c>
    </row>
    <row r="63" spans="1:18" ht="20.25" customHeight="1">
      <c r="A63" s="196">
        <v>22</v>
      </c>
      <c r="B63" s="191" t="s">
        <v>109</v>
      </c>
      <c r="C63" s="191"/>
      <c r="D63" s="201">
        <f>D51</f>
        <v>19854380.36</v>
      </c>
      <c r="E63" s="201">
        <f aca="true" t="shared" si="14" ref="E63:R63">E51</f>
        <v>3719761.4299999997</v>
      </c>
      <c r="F63" s="201">
        <f t="shared" si="14"/>
        <v>1245475</v>
      </c>
      <c r="G63" s="202">
        <f t="shared" si="14"/>
        <v>0</v>
      </c>
      <c r="H63" s="201">
        <f t="shared" si="14"/>
        <v>0</v>
      </c>
      <c r="I63" s="201">
        <f t="shared" si="14"/>
        <v>-0.45000000298023224</v>
      </c>
      <c r="J63" s="201">
        <f t="shared" si="14"/>
        <v>-0.44999999925494194</v>
      </c>
      <c r="K63" s="201">
        <f t="shared" si="14"/>
        <v>-0.44999999925494194</v>
      </c>
      <c r="L63" s="201">
        <f t="shared" si="14"/>
        <v>-0.4500000001862645</v>
      </c>
      <c r="M63" s="201">
        <f t="shared" si="14"/>
        <v>-0.44999999925494194</v>
      </c>
      <c r="N63" s="201">
        <f t="shared" si="14"/>
        <v>-0.44999999925494194</v>
      </c>
      <c r="O63" s="201">
        <f t="shared" si="14"/>
        <v>0.3399999998509884</v>
      </c>
      <c r="P63" s="201">
        <f t="shared" si="14"/>
        <v>0.3174999989569187</v>
      </c>
      <c r="Q63" s="201">
        <f t="shared" si="14"/>
        <v>0</v>
      </c>
      <c r="R63" s="201">
        <f t="shared" si="14"/>
        <v>0.13250000029802322</v>
      </c>
    </row>
    <row r="64" spans="1:18" ht="19.5" customHeight="1">
      <c r="A64" s="196">
        <v>23</v>
      </c>
      <c r="B64" s="191" t="s">
        <v>121</v>
      </c>
      <c r="C64" s="191"/>
      <c r="D64" s="201">
        <f>D45</f>
        <v>3355000</v>
      </c>
      <c r="E64" s="201">
        <f aca="true" t="shared" si="15" ref="E64:R64">E45</f>
        <v>11546170</v>
      </c>
      <c r="F64" s="201">
        <f t="shared" si="15"/>
        <v>25140000</v>
      </c>
      <c r="G64" s="202">
        <f t="shared" si="15"/>
        <v>9000000</v>
      </c>
      <c r="H64" s="201">
        <f t="shared" si="15"/>
        <v>20551585</v>
      </c>
      <c r="I64" s="201">
        <f t="shared" si="15"/>
        <v>5000000</v>
      </c>
      <c r="J64" s="201">
        <f t="shared" si="15"/>
        <v>0</v>
      </c>
      <c r="K64" s="201">
        <f t="shared" si="15"/>
        <v>0</v>
      </c>
      <c r="L64" s="201">
        <f t="shared" si="15"/>
        <v>0</v>
      </c>
      <c r="M64" s="201">
        <f t="shared" si="15"/>
        <v>0</v>
      </c>
      <c r="N64" s="201">
        <f t="shared" si="15"/>
        <v>0</v>
      </c>
      <c r="O64" s="201">
        <f t="shared" si="15"/>
        <v>0</v>
      </c>
      <c r="P64" s="201">
        <f t="shared" si="15"/>
        <v>0</v>
      </c>
      <c r="Q64" s="201">
        <f t="shared" si="15"/>
        <v>0</v>
      </c>
      <c r="R64" s="201">
        <f t="shared" si="15"/>
        <v>0</v>
      </c>
    </row>
    <row r="65" spans="1:18" ht="19.5" customHeight="1">
      <c r="A65" s="203">
        <v>24</v>
      </c>
      <c r="B65" s="204" t="s">
        <v>122</v>
      </c>
      <c r="C65" s="204"/>
      <c r="D65" s="205">
        <f>D29</f>
        <v>1167600</v>
      </c>
      <c r="E65" s="205">
        <f aca="true" t="shared" si="16" ref="E65:R65">E29</f>
        <v>1422000</v>
      </c>
      <c r="F65" s="205">
        <f t="shared" si="16"/>
        <v>3463314</v>
      </c>
      <c r="G65" s="206">
        <f t="shared" si="16"/>
        <v>6940085</v>
      </c>
      <c r="H65" s="205">
        <f t="shared" si="16"/>
        <v>4551585</v>
      </c>
      <c r="I65" s="205">
        <f t="shared" si="16"/>
        <v>6935040</v>
      </c>
      <c r="J65" s="205">
        <f t="shared" si="16"/>
        <v>7466899</v>
      </c>
      <c r="K65" s="205">
        <f t="shared" si="16"/>
        <v>7156453</v>
      </c>
      <c r="L65" s="205">
        <f t="shared" si="16"/>
        <v>6200000</v>
      </c>
      <c r="M65" s="205">
        <f t="shared" si="16"/>
        <v>6300000</v>
      </c>
      <c r="N65" s="205">
        <f t="shared" si="16"/>
        <v>6876170</v>
      </c>
      <c r="O65" s="205">
        <f t="shared" si="16"/>
        <v>6095360</v>
      </c>
      <c r="P65" s="205">
        <f t="shared" si="16"/>
        <v>7083855</v>
      </c>
      <c r="Q65" s="205">
        <f t="shared" si="16"/>
        <v>7083870</v>
      </c>
      <c r="R65" s="205">
        <f t="shared" si="16"/>
        <v>7600000</v>
      </c>
    </row>
    <row r="66" spans="1:9" ht="12.75">
      <c r="A66" s="207"/>
      <c r="B66" s="208"/>
      <c r="D66" s="209"/>
      <c r="E66" s="22"/>
      <c r="F66" s="22"/>
      <c r="G66" s="209"/>
      <c r="H66" s="22"/>
      <c r="I66" s="22"/>
    </row>
    <row r="67" spans="4:9" ht="12.75">
      <c r="D67" s="209"/>
      <c r="E67" s="22"/>
      <c r="F67" s="22"/>
      <c r="G67" s="209"/>
      <c r="H67" s="22"/>
      <c r="I67" s="22"/>
    </row>
    <row r="68" spans="4:9" ht="12.75">
      <c r="D68" s="209"/>
      <c r="E68" s="22"/>
      <c r="F68" s="22"/>
      <c r="G68" s="209"/>
      <c r="H68" s="22"/>
      <c r="I68" s="22"/>
    </row>
    <row r="69" spans="4:9" ht="12.75">
      <c r="D69" s="209"/>
      <c r="E69" s="22"/>
      <c r="F69" s="22"/>
      <c r="G69" s="209"/>
      <c r="H69" s="22"/>
      <c r="I69" s="22"/>
    </row>
    <row r="70" spans="4:9" ht="12.75">
      <c r="D70" s="209"/>
      <c r="E70" s="22"/>
      <c r="F70" s="22"/>
      <c r="G70" s="209"/>
      <c r="H70" s="22"/>
      <c r="I70" s="22"/>
    </row>
  </sheetData>
  <mergeCells count="74">
    <mergeCell ref="A6:O8"/>
    <mergeCell ref="A9:A12"/>
    <mergeCell ref="B9:C12"/>
    <mergeCell ref="D9:R9"/>
    <mergeCell ref="D10:F10"/>
    <mergeCell ref="G10:G12"/>
    <mergeCell ref="H10:R10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B13:C13"/>
    <mergeCell ref="B14:C14"/>
    <mergeCell ref="B15:C15"/>
    <mergeCell ref="B17:C17"/>
    <mergeCell ref="B18:B22"/>
    <mergeCell ref="B23:C23"/>
    <mergeCell ref="B24:C24"/>
    <mergeCell ref="B26:C26"/>
    <mergeCell ref="B27:C27"/>
    <mergeCell ref="B28:C28"/>
    <mergeCell ref="B29:C29"/>
    <mergeCell ref="B30:B32"/>
    <mergeCell ref="B33:C33"/>
    <mergeCell ref="B34:C34"/>
    <mergeCell ref="B35:C35"/>
    <mergeCell ref="B36:C36"/>
    <mergeCell ref="A41:A44"/>
    <mergeCell ref="B41:C44"/>
    <mergeCell ref="D41:R41"/>
    <mergeCell ref="D42:F42"/>
    <mergeCell ref="G42:G44"/>
    <mergeCell ref="H42:R42"/>
    <mergeCell ref="D43:D44"/>
    <mergeCell ref="E43:E44"/>
    <mergeCell ref="F43:F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C45"/>
    <mergeCell ref="B46:B50"/>
    <mergeCell ref="B51:C51"/>
    <mergeCell ref="B52:C52"/>
    <mergeCell ref="A53:A54"/>
    <mergeCell ref="B53:B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90" zoomScaleNormal="90" workbookViewId="0" topLeftCell="F1">
      <selection activeCell="J11" sqref="J11:K11"/>
    </sheetView>
  </sheetViews>
  <sheetFormatPr defaultColWidth="12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  <col min="18" max="16384" width="11.57421875" style="0" customWidth="1"/>
  </cols>
  <sheetData>
    <row r="1" spans="1:17" ht="17.25" customHeigh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84" t="s">
        <v>123</v>
      </c>
      <c r="N1" s="84"/>
      <c r="O1" s="211"/>
      <c r="P1" s="211"/>
      <c r="Q1" s="211"/>
    </row>
    <row r="2" spans="1:17" ht="2.2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89"/>
      <c r="N2" s="90"/>
      <c r="O2" s="211"/>
      <c r="P2" s="211"/>
      <c r="Q2" s="211"/>
    </row>
    <row r="3" spans="1:17" ht="17.25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94" t="s">
        <v>51</v>
      </c>
      <c r="N3" s="90"/>
      <c r="O3" s="211"/>
      <c r="P3" s="211"/>
      <c r="Q3" s="211"/>
    </row>
    <row r="4" spans="1:17" ht="17.25" customHeigh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94" t="s">
        <v>52</v>
      </c>
      <c r="N4" s="90"/>
      <c r="O4" s="211"/>
      <c r="P4" s="211"/>
      <c r="Q4" s="211"/>
    </row>
    <row r="5" spans="1:17" ht="17.25" customHeight="1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94" t="s">
        <v>124</v>
      </c>
      <c r="N5" s="90"/>
      <c r="O5" s="211"/>
      <c r="P5" s="211"/>
      <c r="Q5" s="211"/>
    </row>
    <row r="6" spans="1:17" ht="39.75" customHeight="1">
      <c r="A6" s="212" t="s">
        <v>125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ht="17.25" customHeight="1">
      <c r="A7" s="213" t="s">
        <v>126</v>
      </c>
      <c r="B7" s="214" t="s">
        <v>68</v>
      </c>
      <c r="C7" s="215" t="s">
        <v>69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7.25" customHeight="1">
      <c r="A8" s="213"/>
      <c r="B8" s="214"/>
      <c r="C8" s="216" t="s">
        <v>70</v>
      </c>
      <c r="D8" s="216"/>
      <c r="E8" s="216"/>
      <c r="F8" s="217" t="s">
        <v>127</v>
      </c>
      <c r="G8" s="218" t="s">
        <v>128</v>
      </c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 ht="17.25" customHeight="1">
      <c r="A9" s="213"/>
      <c r="B9" s="214"/>
      <c r="C9" s="219">
        <v>2007</v>
      </c>
      <c r="D9" s="219">
        <v>2008</v>
      </c>
      <c r="E9" s="219">
        <v>2009</v>
      </c>
      <c r="F9" s="217"/>
      <c r="G9" s="219">
        <v>2011</v>
      </c>
      <c r="H9" s="219">
        <v>2012</v>
      </c>
      <c r="I9" s="219">
        <v>2013</v>
      </c>
      <c r="J9" s="219">
        <v>2014</v>
      </c>
      <c r="K9" s="219">
        <v>2015</v>
      </c>
      <c r="L9" s="219">
        <v>2016</v>
      </c>
      <c r="M9" s="219">
        <v>2017</v>
      </c>
      <c r="N9" s="219">
        <v>2018</v>
      </c>
      <c r="O9" s="219">
        <v>2019</v>
      </c>
      <c r="P9" s="219">
        <v>2020</v>
      </c>
      <c r="Q9" s="220">
        <v>2021</v>
      </c>
    </row>
    <row r="10" spans="1:17" ht="20.25" customHeight="1">
      <c r="A10" s="221">
        <v>1</v>
      </c>
      <c r="B10" s="222" t="s">
        <v>129</v>
      </c>
      <c r="C10" s="223">
        <v>15733115</v>
      </c>
      <c r="D10" s="223">
        <v>24061046</v>
      </c>
      <c r="E10" s="223">
        <v>45737732</v>
      </c>
      <c r="F10" s="223">
        <f>E10+WPF!G45-WPF!G29</f>
        <v>47797647</v>
      </c>
      <c r="G10" s="223">
        <f>F10+WPF!H45-WPF!H29</f>
        <v>63797647</v>
      </c>
      <c r="H10" s="223">
        <f>G10+WPF!I45-WPF!I29</f>
        <v>61862607</v>
      </c>
      <c r="I10" s="223">
        <f>H10+WPF!J45-WPF!J29</f>
        <v>54395708</v>
      </c>
      <c r="J10" s="223">
        <f>I10+WPF!K45-WPF!K29</f>
        <v>47239255</v>
      </c>
      <c r="K10" s="223">
        <f>J10+WPF!L45-WPF!L29</f>
        <v>41039255</v>
      </c>
      <c r="L10" s="223">
        <f>K10+WPF!M45-WPF!M29</f>
        <v>34739255</v>
      </c>
      <c r="M10" s="223">
        <f>L10+WPF!N45-WPF!N29</f>
        <v>27863085</v>
      </c>
      <c r="N10" s="223">
        <f>M10+WPF!O45-WPF!O29</f>
        <v>21767725</v>
      </c>
      <c r="O10" s="223">
        <f>N10+WPF!P45-WPF!P29</f>
        <v>14683870</v>
      </c>
      <c r="P10" s="223">
        <f>O10+WPF!Q45-WPF!Q29</f>
        <v>7600000</v>
      </c>
      <c r="Q10" s="224"/>
    </row>
    <row r="11" spans="1:17" ht="33.75" customHeight="1">
      <c r="A11" s="225" t="s">
        <v>74</v>
      </c>
      <c r="B11" s="119" t="s">
        <v>130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7">
        <v>0</v>
      </c>
    </row>
    <row r="12" spans="1:20" ht="42" customHeight="1">
      <c r="A12" s="225" t="s">
        <v>76</v>
      </c>
      <c r="B12" s="119" t="s">
        <v>131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7">
        <v>0</v>
      </c>
      <c r="T12" s="226"/>
    </row>
    <row r="13" spans="1:17" ht="49.5" customHeight="1">
      <c r="A13" s="225" t="s">
        <v>132</v>
      </c>
      <c r="B13" s="119" t="s">
        <v>133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7">
        <v>0</v>
      </c>
    </row>
    <row r="14" spans="1:17" ht="24" customHeight="1">
      <c r="A14" s="225" t="s">
        <v>134</v>
      </c>
      <c r="B14" s="119" t="s">
        <v>135</v>
      </c>
      <c r="C14" s="113">
        <f>WPF!D29</f>
        <v>1167600</v>
      </c>
      <c r="D14" s="113">
        <f>WPF!E29</f>
        <v>1422000</v>
      </c>
      <c r="E14" s="113">
        <f>WPF!F29</f>
        <v>3463314</v>
      </c>
      <c r="F14" s="113">
        <f>WPF!G29</f>
        <v>6940085</v>
      </c>
      <c r="G14" s="113">
        <f>WPF!H29</f>
        <v>4551585</v>
      </c>
      <c r="H14" s="113">
        <f>WPF!I29</f>
        <v>6935040</v>
      </c>
      <c r="I14" s="113">
        <f>WPF!J29</f>
        <v>7466899</v>
      </c>
      <c r="J14" s="113">
        <f>WPF!K29</f>
        <v>7156453</v>
      </c>
      <c r="K14" s="113">
        <f>WPF!L29</f>
        <v>6200000</v>
      </c>
      <c r="L14" s="113">
        <f>WPF!M29</f>
        <v>6300000</v>
      </c>
      <c r="M14" s="113">
        <f>WPF!N29</f>
        <v>6876170</v>
      </c>
      <c r="N14" s="113">
        <f>WPF!O29</f>
        <v>6095360</v>
      </c>
      <c r="O14" s="113">
        <f>WPF!P29</f>
        <v>7083855</v>
      </c>
      <c r="P14" s="113">
        <f>WPF!Q29</f>
        <v>7083870</v>
      </c>
      <c r="Q14" s="117">
        <f>WPF!R29</f>
        <v>7600000</v>
      </c>
    </row>
    <row r="15" spans="1:17" ht="24" customHeight="1">
      <c r="A15" s="227" t="s">
        <v>136</v>
      </c>
      <c r="B15" s="228" t="s">
        <v>137</v>
      </c>
      <c r="C15" s="229"/>
      <c r="D15" s="229"/>
      <c r="E15" s="229"/>
      <c r="F15" s="230">
        <f>1/3*((WPF!D14+WPF!D16-'Prognoza długu'!C25)/WPF!D13+(WPF!E14+WPF!E16-'Prognoza długu'!D25)/WPF!E13+(WPF!F14+WPF!F16-'Prognoza długu'!E25)/WPF!F13)</f>
        <v>0.1910646731760649</v>
      </c>
      <c r="G15" s="230">
        <f>1/3*((WPF!E14+WPF!E16-'Prognoza długu'!D25)/WPF!E13+(WPF!F14+WPF!F16-'Prognoza długu'!E25)/WPF!F13+(WPF!G14+WPF!G16-'Prognoza długu'!F25)/WPF!G13)</f>
        <v>0.16564752089772639</v>
      </c>
      <c r="H15" s="230">
        <f>1/3*((WPF!F14+WPF!F16-'Prognoza długu'!E25)/WPF!F13+(WPF!G14+WPF!G16-'Prognoza długu'!F25)/WPF!G13+(WPF!H14+WPF!H16-'Prognoza długu'!G25)/WPF!H13)</f>
        <v>0.14398784833227085</v>
      </c>
      <c r="I15" s="230">
        <f>1/3*((WPF!G14+WPF!G16-'Prognoza długu'!F25)/WPF!G13+(WPF!H14+WPF!H16-'Prognoza długu'!G25)/WPF!H13+(WPF!I14+WPF!I16-'Prognoza długu'!H25)/WPF!I13)</f>
        <v>0.16760120646212232</v>
      </c>
      <c r="J15" s="230">
        <f>1/3*((WPF!H14+WPF!H16-'Prognoza długu'!G25)/WPF!H13+(WPF!I14+WPF!I16-'Prognoza długu'!H25)/WPF!I13+(WPF!J14+WPF!J16-'Prognoza długu'!I25)/WPF!J13)</f>
        <v>0.15289722533921707</v>
      </c>
      <c r="K15" s="230">
        <f>1/3*((WPF!I14+WPF!I16-'Prognoza długu'!H25)/WPF!I13+(WPF!J14+WPF!J16-'Prognoza długu'!I25)/WPF!J13+(WPF!K14+WPF!K16-'Prognoza długu'!J25)/WPF!K13)</f>
        <v>0.12648817293015058</v>
      </c>
      <c r="L15" s="230">
        <f>1/3*((WPF!J14+WPF!J16-'Prognoza długu'!I25)/WPF!J13+(WPF!K14+WPF!K16-'Prognoza długu'!J25)/WPF!K13+(WPF!L14+WPF!L16-'Prognoza długu'!K25)/WPF!L13)</f>
        <v>0.08983903061141818</v>
      </c>
      <c r="M15" s="230">
        <f>1/3*((WPF!K14+WPF!K16-'Prognoza długu'!J25)/WPF!K13+(WPF!L14+WPF!L16-'Prognoza długu'!K25)/WPF!L13+(WPF!M14+WPF!M16-'Prognoza długu'!L25)/WPF!M13)</f>
        <v>0.09056377458055116</v>
      </c>
      <c r="N15" s="230">
        <f>1/3*((WPF!L14+WPF!L16-'Prognoza długu'!K25)/WPF!L13+(WPF!M14+WPF!M16-'Prognoza długu'!L25)/WPF!M13+(WPF!N14+WPF!N16-'Prognoza długu'!M25)/WPF!N13)</f>
        <v>0.11607092111781227</v>
      </c>
      <c r="O15" s="230">
        <f>1/3*((WPF!M14+WPF!M16-'Prognoza długu'!L25)/WPF!M13+(WPF!N14+WPF!N16-'Prognoza długu'!M25)/WPF!N13+(WPF!O14+WPF!O16-'Prognoza długu'!N25)/WPF!O13)</f>
        <v>0.11340832870793495</v>
      </c>
      <c r="P15" s="230">
        <f>1/3*((WPF!N14+WPF!N16-'Prognoza długu'!M25)/WPF!N13+(WPF!O14+WPF!O16-'Prognoza długu'!N25)/WPF!O13+(WPF!P14+WPF!P16-'Prognoza długu'!O25)/WPF!P13)</f>
        <v>0.08583968536488815</v>
      </c>
      <c r="Q15" s="231">
        <f>1/3*((WPF!O14+WPF!O16-'Prognoza długu'!N25)/WPF!O13+(WPF!P14+WPF!P16-'Prognoza długu'!O25)/WPF!P13+(WPF!Q14+WPF!Q16-'Prognoza długu'!P25)/WPF!Q13)</f>
        <v>0.07164497757496247</v>
      </c>
    </row>
    <row r="16" spans="1:17" ht="30.75" customHeight="1">
      <c r="A16" s="227" t="s">
        <v>138</v>
      </c>
      <c r="B16" s="228" t="s">
        <v>139</v>
      </c>
      <c r="C16" s="232" t="s">
        <v>89</v>
      </c>
      <c r="D16" s="232" t="s">
        <v>89</v>
      </c>
      <c r="E16" s="232" t="s">
        <v>89</v>
      </c>
      <c r="F16" s="230">
        <f>(WPF!G33+WPF!G29)/WPF!G13</f>
        <v>0.08073105264705699</v>
      </c>
      <c r="G16" s="230">
        <f>(WPF!H33+WPF!H29)/WPF!H13</f>
        <v>0.0555859895606181</v>
      </c>
      <c r="H16" s="230">
        <f>(WPF!I33+WPF!I29)/WPF!I13</f>
        <v>0.061272278549442644</v>
      </c>
      <c r="I16" s="230">
        <f>(WPF!J33+WPF!J29)/WPF!J13</f>
        <v>0.0824459613200548</v>
      </c>
      <c r="J16" s="230">
        <f>(WPF!K33+WPF!K29)/WPF!K13</f>
        <v>0.0923887210990523</v>
      </c>
      <c r="K16" s="230">
        <f>(WPF!L33+WPF!L29)/WPF!L13</f>
        <v>0.08050696844501391</v>
      </c>
      <c r="L16" s="230">
        <f>(WPF!M33+WPF!M29)/WPF!M13</f>
        <v>0.07070517748905276</v>
      </c>
      <c r="M16" s="230">
        <f>(WPF!N33+WPF!N29)/WPF!N13</f>
        <v>0.07301615225738838</v>
      </c>
      <c r="N16" s="230">
        <f>(WPF!O33+WPF!O29)/WPF!O13</f>
        <v>0.07049102889355154</v>
      </c>
      <c r="O16" s="230">
        <f>(WPF!P33+WPF!P29)/WPF!P13</f>
        <v>0.07394887320648215</v>
      </c>
      <c r="P16" s="230">
        <f>(WPF!Q33+WPF!Q29)/WPF!Q13</f>
        <v>0.06818781870823454</v>
      </c>
      <c r="Q16" s="231">
        <f>(WPF!R33+WPF!R29)/WPF!R13</f>
        <v>0.0659440132905741</v>
      </c>
    </row>
    <row r="17" spans="1:17" ht="35.25" customHeight="1">
      <c r="A17" s="227" t="s">
        <v>140</v>
      </c>
      <c r="B17" s="233" t="s">
        <v>141</v>
      </c>
      <c r="C17" s="234"/>
      <c r="D17" s="232"/>
      <c r="E17" s="232"/>
      <c r="F17" s="230">
        <f>F15-F16</f>
        <v>0.11033362052900791</v>
      </c>
      <c r="G17" s="230">
        <f aca="true" t="shared" si="0" ref="G17:Q17">G15-G16</f>
        <v>0.11006153133710828</v>
      </c>
      <c r="H17" s="230">
        <f t="shared" si="0"/>
        <v>0.08271556978282821</v>
      </c>
      <c r="I17" s="230">
        <f t="shared" si="0"/>
        <v>0.08515524514206751</v>
      </c>
      <c r="J17" s="230">
        <f t="shared" si="0"/>
        <v>0.06050850424016477</v>
      </c>
      <c r="K17" s="230">
        <f t="shared" si="0"/>
        <v>0.045981204485136665</v>
      </c>
      <c r="L17" s="230">
        <f t="shared" si="0"/>
        <v>0.019133853122365416</v>
      </c>
      <c r="M17" s="230">
        <f t="shared" si="0"/>
        <v>0.017547622323162787</v>
      </c>
      <c r="N17" s="230">
        <f t="shared" si="0"/>
        <v>0.04557989222426073</v>
      </c>
      <c r="O17" s="230">
        <f t="shared" si="0"/>
        <v>0.0394594555014528</v>
      </c>
      <c r="P17" s="230">
        <f t="shared" si="0"/>
        <v>0.01765186665665361</v>
      </c>
      <c r="Q17" s="230">
        <f t="shared" si="0"/>
        <v>0.005700964284388363</v>
      </c>
    </row>
    <row r="18" spans="1:17" ht="30" customHeight="1">
      <c r="A18" s="225" t="s">
        <v>142</v>
      </c>
      <c r="B18" s="119" t="s">
        <v>143</v>
      </c>
      <c r="C18" s="235">
        <f>WPF!D28/WPF!D13%</f>
        <v>1.959634752176012</v>
      </c>
      <c r="D18" s="235">
        <f>WPF!E28/WPF!E13%</f>
        <v>2.3282594878968568</v>
      </c>
      <c r="E18" s="235">
        <f>WPF!F28/WPF!F13%</f>
        <v>5.510659630018438</v>
      </c>
      <c r="F18" s="235">
        <f>WPF!G28/WPF!G13%</f>
        <v>8.0731052647057</v>
      </c>
      <c r="G18" s="235">
        <f>WPF!H28/WPF!H13%</f>
        <v>5.55859895606181</v>
      </c>
      <c r="H18" s="235">
        <f>WPF!I28/WPF!I13%</f>
        <v>6.127227854944264</v>
      </c>
      <c r="I18" s="235">
        <f>WPF!J28/WPF!J13%</f>
        <v>8.24459613200548</v>
      </c>
      <c r="J18" s="235"/>
      <c r="K18" s="235"/>
      <c r="L18" s="235"/>
      <c r="M18" s="235"/>
      <c r="N18" s="235"/>
      <c r="O18" s="235"/>
      <c r="P18" s="235"/>
      <c r="Q18" s="236"/>
    </row>
    <row r="19" spans="1:17" ht="29.25" customHeight="1">
      <c r="A19" s="225" t="s">
        <v>144</v>
      </c>
      <c r="B19" s="119" t="s">
        <v>145</v>
      </c>
      <c r="C19" s="235">
        <f>C10/WPF!D13%</f>
        <v>20.922637275627366</v>
      </c>
      <c r="D19" s="235">
        <f>D10/WPF!E13%</f>
        <v>29.73558673968137</v>
      </c>
      <c r="E19" s="235">
        <f>E10/WPF!F13%</f>
        <v>55.982746471274986</v>
      </c>
      <c r="F19" s="235">
        <f>F10/WPF!G13%</f>
        <v>39.797474337941416</v>
      </c>
      <c r="G19" s="235">
        <f>G10/WPF!H13%</f>
        <v>51.51774408818341</v>
      </c>
      <c r="H19" s="235">
        <f>H10/WPF!I13%</f>
        <v>39.92780909698914</v>
      </c>
      <c r="I19" s="235">
        <f>I10/WPF!J13%</f>
        <v>44.62859202263491</v>
      </c>
      <c r="J19" s="235"/>
      <c r="K19" s="235"/>
      <c r="L19" s="235"/>
      <c r="M19" s="235"/>
      <c r="N19" s="235"/>
      <c r="O19" s="235"/>
      <c r="P19" s="235"/>
      <c r="Q19" s="236"/>
    </row>
    <row r="20" spans="1:17" ht="17.25" customHeight="1">
      <c r="A20" s="184" t="s">
        <v>146</v>
      </c>
      <c r="B20" s="191" t="s">
        <v>147</v>
      </c>
      <c r="C20" s="138">
        <f>C21+C22</f>
        <v>75196615</v>
      </c>
      <c r="D20" s="138">
        <f aca="true" t="shared" si="1" ref="D20:Q20">D21+D22</f>
        <v>80916668</v>
      </c>
      <c r="E20" s="138">
        <f t="shared" si="1"/>
        <v>81699693</v>
      </c>
      <c r="F20" s="138">
        <f t="shared" si="1"/>
        <v>120102212</v>
      </c>
      <c r="G20" s="138">
        <f t="shared" si="1"/>
        <v>123836259</v>
      </c>
      <c r="H20" s="138">
        <f t="shared" si="1"/>
        <v>154936142</v>
      </c>
      <c r="I20" s="138">
        <f t="shared" si="1"/>
        <v>121885333</v>
      </c>
      <c r="J20" s="138">
        <f t="shared" si="1"/>
        <v>107829336</v>
      </c>
      <c r="K20" s="138">
        <f t="shared" si="1"/>
        <v>99758339</v>
      </c>
      <c r="L20" s="237">
        <f t="shared" si="1"/>
        <v>113848430</v>
      </c>
      <c r="M20" s="138">
        <f t="shared" si="1"/>
        <v>118106216</v>
      </c>
      <c r="N20" s="138">
        <f t="shared" si="1"/>
        <v>112538571</v>
      </c>
      <c r="O20" s="138">
        <f t="shared" si="1"/>
        <v>117152653</v>
      </c>
      <c r="P20" s="138">
        <f t="shared" si="1"/>
        <v>120470491</v>
      </c>
      <c r="Q20" s="140">
        <f t="shared" si="1"/>
        <v>131614781</v>
      </c>
    </row>
    <row r="21" spans="1:17" ht="16.5" customHeight="1">
      <c r="A21" s="225" t="s">
        <v>74</v>
      </c>
      <c r="B21" s="119" t="s">
        <v>148</v>
      </c>
      <c r="C21" s="129">
        <f>WPF!D14</f>
        <v>74779347</v>
      </c>
      <c r="D21" s="129">
        <f>WPF!E14</f>
        <v>80901768</v>
      </c>
      <c r="E21" s="129">
        <f>WPF!F14</f>
        <v>80665439</v>
      </c>
      <c r="F21" s="129">
        <f>WPF!G14</f>
        <v>84358416</v>
      </c>
      <c r="G21" s="129">
        <f>WPF!H14</f>
        <v>85387172</v>
      </c>
      <c r="H21" s="129">
        <f>WPF!I14</f>
        <v>89803585</v>
      </c>
      <c r="I21" s="129">
        <f>WPF!J14</f>
        <v>93052832</v>
      </c>
      <c r="J21" s="129">
        <f>WPF!K14</f>
        <v>95829336</v>
      </c>
      <c r="K21" s="129">
        <f>WPF!L14</f>
        <v>99758339</v>
      </c>
      <c r="L21" s="238">
        <f>WPF!M14</f>
        <v>103848430</v>
      </c>
      <c r="M21" s="129">
        <f>WPF!N14</f>
        <v>108106216</v>
      </c>
      <c r="N21" s="129">
        <f>WPF!O14</f>
        <v>112538571</v>
      </c>
      <c r="O21" s="129">
        <f>WPF!P14</f>
        <v>117152653</v>
      </c>
      <c r="P21" s="129">
        <f>WPF!Q14</f>
        <v>115470491</v>
      </c>
      <c r="Q21" s="239">
        <f>WPF!R14</f>
        <v>126614781</v>
      </c>
    </row>
    <row r="22" spans="1:17" ht="16.5" customHeight="1">
      <c r="A22" s="225" t="s">
        <v>76</v>
      </c>
      <c r="B22" s="119" t="s">
        <v>77</v>
      </c>
      <c r="C22" s="129">
        <f>WPF!D15</f>
        <v>417268</v>
      </c>
      <c r="D22" s="129">
        <f>WPF!E15</f>
        <v>14900</v>
      </c>
      <c r="E22" s="129">
        <f>WPF!F15</f>
        <v>1034254</v>
      </c>
      <c r="F22" s="129">
        <f>WPF!G15</f>
        <v>35743796</v>
      </c>
      <c r="G22" s="129">
        <f>WPF!H15</f>
        <v>38449087</v>
      </c>
      <c r="H22" s="129">
        <f>WPF!I15</f>
        <v>65132557</v>
      </c>
      <c r="I22" s="129">
        <f>WPF!J15</f>
        <v>28832501</v>
      </c>
      <c r="J22" s="129">
        <f>WPF!K15</f>
        <v>12000000</v>
      </c>
      <c r="K22" s="129">
        <f>WPF!L15</f>
        <v>0</v>
      </c>
      <c r="L22" s="129">
        <f>WPF!M15</f>
        <v>10000000</v>
      </c>
      <c r="M22" s="129">
        <f>WPF!N15</f>
        <v>10000000</v>
      </c>
      <c r="N22" s="129">
        <f>WPF!O15</f>
        <v>0</v>
      </c>
      <c r="O22" s="129">
        <f>WPF!P15</f>
        <v>0</v>
      </c>
      <c r="P22" s="129">
        <f>WPF!Q15</f>
        <v>5000000</v>
      </c>
      <c r="Q22" s="239">
        <f>WPF!R15</f>
        <v>5000000</v>
      </c>
    </row>
    <row r="23" spans="1:17" ht="16.5" customHeight="1">
      <c r="A23" s="225" t="s">
        <v>78</v>
      </c>
      <c r="B23" s="119" t="s">
        <v>80</v>
      </c>
      <c r="C23" s="129">
        <f>WPF!D16</f>
        <v>0</v>
      </c>
      <c r="D23" s="129">
        <f>WPF!E16</f>
        <v>0</v>
      </c>
      <c r="E23" s="129">
        <f>WPF!F16</f>
        <v>197354</v>
      </c>
      <c r="F23" s="129">
        <f>WPF!G16</f>
        <v>25000000</v>
      </c>
      <c r="G23" s="129">
        <f>WPF!H16</f>
        <v>13500000</v>
      </c>
      <c r="H23" s="129">
        <f>WPF!I16</f>
        <v>19500000</v>
      </c>
      <c r="I23" s="129">
        <f>WPF!J16</f>
        <v>10000000</v>
      </c>
      <c r="J23" s="129">
        <f>WPF!K16</f>
        <v>0</v>
      </c>
      <c r="K23" s="129">
        <f>WPF!L16</f>
        <v>0</v>
      </c>
      <c r="L23" s="129">
        <f>WPF!M16</f>
        <v>10000000</v>
      </c>
      <c r="M23" s="129">
        <f>WPF!N16</f>
        <v>10000000</v>
      </c>
      <c r="N23" s="129">
        <f>WPF!O16</f>
        <v>0</v>
      </c>
      <c r="O23" s="129">
        <f>WPF!P16</f>
        <v>0</v>
      </c>
      <c r="P23" s="129">
        <f>WPF!Q16</f>
        <v>5000000</v>
      </c>
      <c r="Q23" s="239">
        <f>WPF!R16</f>
        <v>5000000</v>
      </c>
    </row>
    <row r="24" spans="1:17" ht="16.5" customHeight="1">
      <c r="A24" s="184" t="s">
        <v>149</v>
      </c>
      <c r="B24" s="191" t="s">
        <v>150</v>
      </c>
      <c r="C24" s="138">
        <f>C25+C26</f>
        <v>93858939.64</v>
      </c>
      <c r="D24" s="138">
        <f aca="true" t="shared" si="2" ref="D24:Q24">D25+D26</f>
        <v>107175456.57</v>
      </c>
      <c r="E24" s="138">
        <f t="shared" si="2"/>
        <v>105850665</v>
      </c>
      <c r="F24" s="138">
        <f t="shared" si="2"/>
        <v>123367602</v>
      </c>
      <c r="G24" s="138">
        <f>G25+G26</f>
        <v>139836259</v>
      </c>
      <c r="H24" s="138">
        <f t="shared" si="2"/>
        <v>153001102.45</v>
      </c>
      <c r="I24" s="138">
        <f t="shared" si="2"/>
        <v>114418434.45</v>
      </c>
      <c r="J24" s="138">
        <f t="shared" si="2"/>
        <v>100672883.45</v>
      </c>
      <c r="K24" s="138">
        <f t="shared" si="2"/>
        <v>93558339.45</v>
      </c>
      <c r="L24" s="138">
        <f t="shared" si="2"/>
        <v>107548430.45</v>
      </c>
      <c r="M24" s="138">
        <f t="shared" si="2"/>
        <v>111230046.45</v>
      </c>
      <c r="N24" s="138">
        <f t="shared" si="2"/>
        <v>106443210.66</v>
      </c>
      <c r="O24" s="138">
        <f t="shared" si="2"/>
        <v>110068797.6825</v>
      </c>
      <c r="P24" s="138">
        <f t="shared" si="2"/>
        <v>113386621</v>
      </c>
      <c r="Q24" s="140">
        <f t="shared" si="2"/>
        <v>124014780.8675</v>
      </c>
    </row>
    <row r="25" spans="1:17" ht="17.25" customHeight="1">
      <c r="A25" s="225" t="s">
        <v>74</v>
      </c>
      <c r="B25" s="119" t="s">
        <v>151</v>
      </c>
      <c r="C25" s="113">
        <f>WPF!D17+WPF!D33</f>
        <v>55125811</v>
      </c>
      <c r="D25" s="113">
        <f>WPF!E17+WPF!E33</f>
        <v>63862781</v>
      </c>
      <c r="E25" s="113">
        <f>WPF!F17+WPF!F33</f>
        <v>72590083</v>
      </c>
      <c r="F25" s="113">
        <f>WPF!G17+WPF!G33</f>
        <v>87126233</v>
      </c>
      <c r="G25" s="113">
        <f>WPF!H17+WPF!H33</f>
        <v>80857172</v>
      </c>
      <c r="H25" s="113">
        <f>WPF!I17+WPF!I33</f>
        <v>82639444.45</v>
      </c>
      <c r="I25" s="113">
        <f>WPF!J17+WPF!J33</f>
        <v>85867173.45</v>
      </c>
      <c r="J25" s="113">
        <f>WPF!K17+WPF!K33</f>
        <v>88672883.45</v>
      </c>
      <c r="K25" s="113">
        <f>WPF!L17+WPF!L33</f>
        <v>93558339.45</v>
      </c>
      <c r="L25" s="113">
        <f>WPF!M17+WPF!M33</f>
        <v>97548430.45</v>
      </c>
      <c r="M25" s="113">
        <f>WPF!N17+WPF!N33</f>
        <v>101230046.45</v>
      </c>
      <c r="N25" s="113">
        <f>WPF!O17+WPF!O33</f>
        <v>106443210.66</v>
      </c>
      <c r="O25" s="113">
        <f>WPF!P17+WPF!P33</f>
        <v>110068797.6825</v>
      </c>
      <c r="P25" s="113">
        <f>WPF!Q17+WPF!Q33</f>
        <v>108386621</v>
      </c>
      <c r="Q25" s="117">
        <f>WPF!R17+WPF!R33</f>
        <v>119014780.8675</v>
      </c>
    </row>
    <row r="26" spans="1:17" ht="17.25" customHeight="1">
      <c r="A26" s="225" t="s">
        <v>76</v>
      </c>
      <c r="B26" s="119" t="s">
        <v>152</v>
      </c>
      <c r="C26" s="113">
        <f>WPF!D36</f>
        <v>38733128.64</v>
      </c>
      <c r="D26" s="113">
        <f>WPF!E36</f>
        <v>43312675.57</v>
      </c>
      <c r="E26" s="113">
        <f>WPF!F36</f>
        <v>33260582</v>
      </c>
      <c r="F26" s="113">
        <f>WPF!G36</f>
        <v>36241369</v>
      </c>
      <c r="G26" s="113">
        <f>WPF!H36</f>
        <v>58979087</v>
      </c>
      <c r="H26" s="113">
        <f>WPF!I36</f>
        <v>70361658</v>
      </c>
      <c r="I26" s="113">
        <f>WPF!J36</f>
        <v>28551261</v>
      </c>
      <c r="J26" s="113">
        <f>WPF!K36</f>
        <v>12000000</v>
      </c>
      <c r="K26" s="113">
        <f>WPF!L36</f>
        <v>0</v>
      </c>
      <c r="L26" s="113">
        <f>WPF!M36</f>
        <v>10000000</v>
      </c>
      <c r="M26" s="113">
        <f>WPF!N36</f>
        <v>10000000</v>
      </c>
      <c r="N26" s="113">
        <f>WPF!O36</f>
        <v>0</v>
      </c>
      <c r="O26" s="113">
        <f>WPF!P36</f>
        <v>0</v>
      </c>
      <c r="P26" s="113">
        <f>WPF!Q36</f>
        <v>5000000</v>
      </c>
      <c r="Q26" s="113">
        <f>WPF!R36</f>
        <v>5000000</v>
      </c>
    </row>
    <row r="27" spans="1:17" ht="31.5" customHeight="1">
      <c r="A27" s="184" t="s">
        <v>153</v>
      </c>
      <c r="B27" s="191" t="s">
        <v>154</v>
      </c>
      <c r="C27" s="138">
        <f>C20-C24</f>
        <v>-18662324.64</v>
      </c>
      <c r="D27" s="138">
        <f aca="true" t="shared" si="3" ref="D27:Q27">D20-D24</f>
        <v>-26258788.569999993</v>
      </c>
      <c r="E27" s="138">
        <f>E20-E24</f>
        <v>-24150972</v>
      </c>
      <c r="F27" s="138">
        <f t="shared" si="3"/>
        <v>-3265390</v>
      </c>
      <c r="G27" s="138">
        <f t="shared" si="3"/>
        <v>-16000000</v>
      </c>
      <c r="H27" s="138">
        <f t="shared" si="3"/>
        <v>1935039.550000012</v>
      </c>
      <c r="I27" s="138">
        <f t="shared" si="3"/>
        <v>7466898.549999997</v>
      </c>
      <c r="J27" s="138">
        <f t="shared" si="3"/>
        <v>7156452.549999997</v>
      </c>
      <c r="K27" s="138">
        <f t="shared" si="3"/>
        <v>6199999.549999997</v>
      </c>
      <c r="L27" s="138">
        <f t="shared" si="3"/>
        <v>6299999.549999997</v>
      </c>
      <c r="M27" s="138">
        <f t="shared" si="3"/>
        <v>6876169.549999997</v>
      </c>
      <c r="N27" s="138">
        <f t="shared" si="3"/>
        <v>6095360.340000004</v>
      </c>
      <c r="O27" s="138">
        <f t="shared" si="3"/>
        <v>7083855.317499995</v>
      </c>
      <c r="P27" s="138">
        <f t="shared" si="3"/>
        <v>7083870</v>
      </c>
      <c r="Q27" s="140">
        <f t="shared" si="3"/>
        <v>7600000.132499993</v>
      </c>
    </row>
    <row r="28" spans="1:17" ht="15.75" customHeight="1">
      <c r="A28" s="184" t="s">
        <v>155</v>
      </c>
      <c r="B28" s="191" t="s">
        <v>121</v>
      </c>
      <c r="C28" s="138">
        <f>WPF!D24+WPF!D45</f>
        <v>39684305</v>
      </c>
      <c r="D28" s="138">
        <f>WPF!E24+WPF!E45</f>
        <v>31400550</v>
      </c>
      <c r="E28" s="138">
        <f>WPF!F24+WPF!F45</f>
        <v>28859761</v>
      </c>
      <c r="F28" s="138">
        <f>WPF!G24+WPF!G45</f>
        <v>10245475</v>
      </c>
      <c r="G28" s="138">
        <f>WPF!H24+WPF!H45</f>
        <v>20551585</v>
      </c>
      <c r="H28" s="138">
        <f>WPF!I24+WPF!I45</f>
        <v>5000000</v>
      </c>
      <c r="I28" s="138">
        <f>WPF!J24+WPF!J45</f>
        <v>0</v>
      </c>
      <c r="J28" s="138">
        <f>WPF!K24+WPF!K45</f>
        <v>0</v>
      </c>
      <c r="K28" s="138">
        <f>WPF!L24+WPF!L45</f>
        <v>0</v>
      </c>
      <c r="L28" s="138">
        <f>WPF!M24+WPF!M45</f>
        <v>0</v>
      </c>
      <c r="M28" s="138">
        <f>WPF!N24+WPF!N45</f>
        <v>0</v>
      </c>
      <c r="N28" s="138">
        <f>WPF!O24+WPF!O45</f>
        <v>0</v>
      </c>
      <c r="O28" s="138">
        <f>WPF!P24+WPF!P45</f>
        <v>0</v>
      </c>
      <c r="P28" s="138">
        <f>WPF!Q24+WPF!Q45</f>
        <v>0</v>
      </c>
      <c r="Q28" s="140">
        <f>WPF!R24+WPF!R45</f>
        <v>0</v>
      </c>
    </row>
    <row r="29" spans="1:17" ht="11.25" customHeight="1">
      <c r="A29" s="225" t="s">
        <v>74</v>
      </c>
      <c r="B29" s="155" t="s">
        <v>97</v>
      </c>
      <c r="C29" s="113">
        <v>3355000</v>
      </c>
      <c r="D29" s="113">
        <v>7546170</v>
      </c>
      <c r="E29" s="113">
        <v>6330000</v>
      </c>
      <c r="F29" s="113"/>
      <c r="G29" s="113">
        <v>3000000</v>
      </c>
      <c r="H29" s="113">
        <v>5000000</v>
      </c>
      <c r="I29" s="113"/>
      <c r="J29" s="113"/>
      <c r="K29" s="113"/>
      <c r="L29" s="113"/>
      <c r="M29" s="113"/>
      <c r="N29" s="113"/>
      <c r="O29" s="113"/>
      <c r="P29" s="113"/>
      <c r="Q29" s="117"/>
    </row>
    <row r="30" spans="1:17" ht="11.25" customHeight="1">
      <c r="A30" s="225" t="s">
        <v>76</v>
      </c>
      <c r="B30" s="155" t="s">
        <v>98</v>
      </c>
      <c r="C30" s="113"/>
      <c r="D30" s="113">
        <v>4000000</v>
      </c>
      <c r="E30" s="113">
        <v>4810000</v>
      </c>
      <c r="F30" s="113"/>
      <c r="G30" s="113">
        <v>6000000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7"/>
    </row>
    <row r="31" spans="1:17" ht="11.25" customHeight="1">
      <c r="A31" s="225" t="s">
        <v>84</v>
      </c>
      <c r="B31" s="155" t="s">
        <v>106</v>
      </c>
      <c r="C31" s="113"/>
      <c r="D31" s="113"/>
      <c r="E31" s="113">
        <v>14000000</v>
      </c>
      <c r="F31" s="113">
        <v>9000000</v>
      </c>
      <c r="G31" s="113">
        <v>11551585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7"/>
    </row>
    <row r="32" spans="1:17" ht="51.75" customHeight="1">
      <c r="A32" s="225" t="s">
        <v>87</v>
      </c>
      <c r="B32" s="176" t="s">
        <v>107</v>
      </c>
      <c r="C32" s="113">
        <v>13695715</v>
      </c>
      <c r="D32" s="113">
        <v>15733115</v>
      </c>
      <c r="E32" s="113">
        <v>3719761</v>
      </c>
      <c r="F32" s="113">
        <v>1245475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7"/>
    </row>
    <row r="33" spans="1:17" ht="14.25" customHeight="1">
      <c r="A33" s="225" t="s">
        <v>156</v>
      </c>
      <c r="B33" s="177" t="s">
        <v>108</v>
      </c>
      <c r="C33" s="113">
        <v>22633590</v>
      </c>
      <c r="D33" s="113">
        <v>4121265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7"/>
    </row>
    <row r="34" spans="1:17" ht="21" customHeight="1">
      <c r="A34" s="184" t="s">
        <v>157</v>
      </c>
      <c r="B34" s="191" t="s">
        <v>122</v>
      </c>
      <c r="C34" s="138">
        <f>WPF!D29+WPF!D34</f>
        <v>1167600</v>
      </c>
      <c r="D34" s="138">
        <f>WPF!E29+WPF!E34</f>
        <v>1422000</v>
      </c>
      <c r="E34" s="138">
        <f>WPF!F29+WPF!F34</f>
        <v>3463314</v>
      </c>
      <c r="F34" s="138">
        <f>WPF!G29+WPF!G34</f>
        <v>6980085</v>
      </c>
      <c r="G34" s="138">
        <f>WPF!H29+WPF!H34</f>
        <v>4551585</v>
      </c>
      <c r="H34" s="138">
        <f>WPF!I29+WPF!I34</f>
        <v>6935040</v>
      </c>
      <c r="I34" s="138">
        <f>WPF!J29+WPF!J34</f>
        <v>7466899</v>
      </c>
      <c r="J34" s="138">
        <f>WPF!K29+WPF!K34</f>
        <v>7156453</v>
      </c>
      <c r="K34" s="138">
        <f>WPF!L29+WPF!L34</f>
        <v>6200000</v>
      </c>
      <c r="L34" s="138">
        <f>WPF!M29+WPF!M34</f>
        <v>6300000</v>
      </c>
      <c r="M34" s="138">
        <f>WPF!N29+WPF!N34</f>
        <v>6876170</v>
      </c>
      <c r="N34" s="138">
        <f>WPF!O29+WPF!O34</f>
        <v>6095360</v>
      </c>
      <c r="O34" s="138">
        <f>WPF!P29+WPF!P34</f>
        <v>7083855</v>
      </c>
      <c r="P34" s="138">
        <f>WPF!Q29+WPF!Q34</f>
        <v>7083870</v>
      </c>
      <c r="Q34" s="140">
        <f>WPF!R29+WPF!R34</f>
        <v>7600000</v>
      </c>
    </row>
    <row r="35" spans="1:17" ht="12" customHeight="1">
      <c r="A35" s="240" t="s">
        <v>74</v>
      </c>
      <c r="B35" s="155" t="s">
        <v>97</v>
      </c>
      <c r="C35" s="147">
        <v>1167600</v>
      </c>
      <c r="D35" s="115">
        <v>1422000</v>
      </c>
      <c r="E35" s="115">
        <v>2963314</v>
      </c>
      <c r="F35" s="241">
        <v>3340085</v>
      </c>
      <c r="G35" s="115">
        <f>WPF!H30</f>
        <v>2141585</v>
      </c>
      <c r="H35" s="115">
        <f>WPF!I30</f>
        <v>3535040</v>
      </c>
      <c r="I35" s="115">
        <f>WPF!J30</f>
        <v>3866899</v>
      </c>
      <c r="J35" s="115">
        <f>WPF!K30</f>
        <v>3506453</v>
      </c>
      <c r="K35" s="115">
        <f>WPF!L30</f>
        <v>2550000</v>
      </c>
      <c r="L35" s="115">
        <f>WPF!M30</f>
        <v>2550000</v>
      </c>
      <c r="M35" s="115">
        <f>WPF!N30</f>
        <v>2401170</v>
      </c>
      <c r="N35" s="115">
        <f>WPF!O30</f>
        <v>262028</v>
      </c>
      <c r="O35" s="115">
        <f>WPF!P30</f>
        <v>1050523</v>
      </c>
      <c r="P35" s="115">
        <f>WPF!Q30</f>
        <v>1000000</v>
      </c>
      <c r="Q35" s="121">
        <f>WPF!R30</f>
        <v>423949</v>
      </c>
    </row>
    <row r="36" spans="1:17" ht="12" customHeight="1">
      <c r="A36" s="240" t="s">
        <v>76</v>
      </c>
      <c r="B36" s="155" t="s">
        <v>98</v>
      </c>
      <c r="C36" s="147"/>
      <c r="D36" s="115"/>
      <c r="E36" s="115">
        <v>500000</v>
      </c>
      <c r="F36" s="241">
        <v>3600000</v>
      </c>
      <c r="G36" s="115">
        <f>WPF!H31</f>
        <v>410000</v>
      </c>
      <c r="H36" s="115">
        <f>WPF!I31</f>
        <v>400000</v>
      </c>
      <c r="I36" s="115">
        <f>WPF!J31</f>
        <v>600000</v>
      </c>
      <c r="J36" s="115">
        <f>WPF!K31</f>
        <v>650000</v>
      </c>
      <c r="K36" s="115">
        <f>WPF!L31</f>
        <v>650000</v>
      </c>
      <c r="L36" s="115">
        <f>WPF!M31</f>
        <v>750000</v>
      </c>
      <c r="M36" s="115">
        <f>WPF!N31</f>
        <v>1475000</v>
      </c>
      <c r="N36" s="115">
        <f>WPF!O31</f>
        <v>833332</v>
      </c>
      <c r="O36" s="115">
        <f>WPF!P31</f>
        <v>3333332</v>
      </c>
      <c r="P36" s="115">
        <f>WPF!Q31</f>
        <v>3383870</v>
      </c>
      <c r="Q36" s="121">
        <f>WPF!R31</f>
        <v>3024466</v>
      </c>
    </row>
    <row r="37" spans="1:17" ht="12.75" customHeight="1">
      <c r="A37" s="240" t="s">
        <v>84</v>
      </c>
      <c r="B37" s="155" t="s">
        <v>99</v>
      </c>
      <c r="C37" s="147"/>
      <c r="D37" s="115"/>
      <c r="E37" s="115"/>
      <c r="F37" s="241"/>
      <c r="G37" s="115">
        <f>WPF!H32</f>
        <v>2000000</v>
      </c>
      <c r="H37" s="115">
        <f>WPF!I32</f>
        <v>3000000</v>
      </c>
      <c r="I37" s="115">
        <f>WPF!J32</f>
        <v>3000000</v>
      </c>
      <c r="J37" s="115">
        <f>WPF!K32</f>
        <v>3000000</v>
      </c>
      <c r="K37" s="115">
        <f>WPF!L32</f>
        <v>3000000</v>
      </c>
      <c r="L37" s="115">
        <f>WPF!M32</f>
        <v>3000000</v>
      </c>
      <c r="M37" s="115">
        <f>WPF!N32</f>
        <v>3000000</v>
      </c>
      <c r="N37" s="115">
        <f>WPF!O32</f>
        <v>5000000</v>
      </c>
      <c r="O37" s="115">
        <f>WPF!P32</f>
        <v>2700000</v>
      </c>
      <c r="P37" s="115">
        <f>WPF!Q32</f>
        <v>2700000</v>
      </c>
      <c r="Q37" s="121">
        <f>WPF!R32</f>
        <v>4151585</v>
      </c>
    </row>
    <row r="38" spans="1:17" ht="36" customHeight="1">
      <c r="A38" s="242" t="s">
        <v>158</v>
      </c>
      <c r="B38" s="243" t="s">
        <v>159</v>
      </c>
      <c r="C38" s="244">
        <f>(WPF!D14+WPF!D24)/'Prognoza długu'!C25%</f>
        <v>201.55468007536433</v>
      </c>
      <c r="D38" s="244">
        <f>(WPF!E14+WPF!E24)/'Prognoza długu'!D25%</f>
        <v>157.7697469829884</v>
      </c>
      <c r="E38" s="244">
        <f>(WPF!F14+WPF!F24)/'Prognoza długu'!E25%</f>
        <v>116.24893719986517</v>
      </c>
      <c r="F38" s="244">
        <f>(WPF!G14+WPF!G24)/'Prognoza długu'!F25%</f>
        <v>98.25271683673046</v>
      </c>
      <c r="G38" s="244">
        <f>(WPF!H14+WPF!H24)/'Prognoza długu'!G25%</f>
        <v>105.60247147896789</v>
      </c>
      <c r="H38" s="244">
        <f>(WPF!I14+WPF!I24)/'Prognoza długu'!H25%</f>
        <v>108.66915381350921</v>
      </c>
      <c r="I38" s="244">
        <f>(WPF!J14+WPF!J24)/'Prognoza długu'!I25%</f>
        <v>108.368341778694</v>
      </c>
      <c r="J38" s="244">
        <f>(WPF!K14+WPF!K24)/'Prognoza długu'!J25%</f>
        <v>108.07062122214094</v>
      </c>
      <c r="K38" s="244">
        <f>(WPF!L14+WPF!L24)/'Prognoza długu'!K25%</f>
        <v>106.62688071041859</v>
      </c>
      <c r="L38" s="244">
        <f>(WPF!M14+WPF!M24)/'Prognoza długu'!L25%</f>
        <v>106.4583300017617</v>
      </c>
      <c r="M38" s="244">
        <f>(WPF!N14+WPF!N24)/'Prognoza długu'!M25%</f>
        <v>106.79261720322958</v>
      </c>
      <c r="N38" s="244">
        <f>(WPF!O14+WPF!O24)/'Prognoza długu'!N25%</f>
        <v>105.7263965472347</v>
      </c>
      <c r="O38" s="244">
        <f>(WPF!P14+WPF!P24)/'Prognoza długu'!O25%</f>
        <v>106.43584327861362</v>
      </c>
      <c r="P38" s="244">
        <f>(WPF!Q14+WPF!Q24)/'Prognoza długu'!P25%</f>
        <v>106.53574208204166</v>
      </c>
      <c r="Q38" s="245">
        <f>(WPF!R14+WPF!R24)/'Prognoza długu'!Q25%</f>
        <v>106.38576156432295</v>
      </c>
    </row>
    <row r="39" spans="1:17" ht="12.75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</sheetData>
  <mergeCells count="7">
    <mergeCell ref="A6:Q6"/>
    <mergeCell ref="A7:A9"/>
    <mergeCell ref="B7:B9"/>
    <mergeCell ref="C7:Q7"/>
    <mergeCell ref="C8:E8"/>
    <mergeCell ref="F8:F9"/>
    <mergeCell ref="G8:Q8"/>
  </mergeCells>
  <printOptions horizontalCentered="1"/>
  <pageMargins left="0.5902777777777778" right="0.39375" top="0.9840277777777777" bottom="0.47222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="90" zoomScaleNormal="90" workbookViewId="0" topLeftCell="D1">
      <selection activeCell="A6" sqref="A6:O7"/>
    </sheetView>
  </sheetViews>
  <sheetFormatPr defaultColWidth="12.57421875" defaultRowHeight="12.75"/>
  <cols>
    <col min="1" max="1" width="5.28125" style="0" customWidth="1"/>
    <col min="2" max="2" width="41.28125" style="0" customWidth="1"/>
    <col min="3" max="3" width="13.8515625" style="81" customWidth="1"/>
    <col min="4" max="4" width="7.140625" style="81" customWidth="1"/>
    <col min="5" max="8" width="8.57421875" style="81" customWidth="1"/>
    <col min="9" max="9" width="22.57421875" style="81" customWidth="1"/>
    <col min="10" max="10" width="19.57421875" style="81" customWidth="1"/>
    <col min="11" max="11" width="16.57421875" style="81" customWidth="1"/>
    <col min="12" max="12" width="15.57421875" style="81" customWidth="1"/>
    <col min="13" max="13" width="13.57421875" style="81" customWidth="1"/>
    <col min="14" max="14" width="0.42578125" style="81" customWidth="1"/>
    <col min="15" max="15" width="19.140625" style="0" customWidth="1"/>
    <col min="16" max="16384" width="11.57421875" style="0" customWidth="1"/>
  </cols>
  <sheetData>
    <row r="1" spans="1:15" s="208" customFormat="1" ht="15" customHeight="1">
      <c r="A1" s="247"/>
      <c r="B1" s="248"/>
      <c r="C1" s="248"/>
      <c r="D1" s="248"/>
      <c r="E1" s="248"/>
      <c r="F1" s="248"/>
      <c r="G1" s="249"/>
      <c r="H1" s="248"/>
      <c r="I1" s="248"/>
      <c r="J1" s="248"/>
      <c r="K1" s="248"/>
      <c r="L1" s="248"/>
      <c r="M1" s="84" t="s">
        <v>160</v>
      </c>
      <c r="N1" s="84"/>
      <c r="O1" s="248"/>
    </row>
    <row r="2" spans="1:15" s="251" customFormat="1" ht="4.5" customHeight="1">
      <c r="A2" s="247"/>
      <c r="B2" s="248"/>
      <c r="C2" s="248"/>
      <c r="D2" s="248"/>
      <c r="E2" s="248"/>
      <c r="F2" s="248"/>
      <c r="G2" s="250"/>
      <c r="H2" s="248"/>
      <c r="I2" s="248"/>
      <c r="J2" s="248"/>
      <c r="K2" s="248"/>
      <c r="L2" s="248"/>
      <c r="M2" s="89"/>
      <c r="N2" s="90"/>
      <c r="O2" s="248"/>
    </row>
    <row r="3" spans="1:15" s="251" customFormat="1" ht="12.75" customHeight="1">
      <c r="A3" s="247"/>
      <c r="B3" s="248"/>
      <c r="C3" s="248"/>
      <c r="D3" s="248"/>
      <c r="E3" s="248"/>
      <c r="F3" s="248"/>
      <c r="G3" s="252"/>
      <c r="H3" s="248"/>
      <c r="I3" s="248"/>
      <c r="J3" s="248"/>
      <c r="K3" s="248"/>
      <c r="L3" s="248"/>
      <c r="M3" s="94" t="s">
        <v>51</v>
      </c>
      <c r="N3" s="90"/>
      <c r="O3" s="248"/>
    </row>
    <row r="4" spans="1:15" s="251" customFormat="1" ht="12.75" customHeight="1">
      <c r="A4" s="247"/>
      <c r="B4" s="248"/>
      <c r="C4" s="248"/>
      <c r="D4" s="248"/>
      <c r="E4" s="248"/>
      <c r="F4" s="248"/>
      <c r="G4" s="252"/>
      <c r="H4" s="248"/>
      <c r="I4" s="248"/>
      <c r="J4" s="248"/>
      <c r="K4" s="248"/>
      <c r="L4" s="248"/>
      <c r="M4" s="94" t="s">
        <v>52</v>
      </c>
      <c r="N4" s="90"/>
      <c r="O4" s="248"/>
    </row>
    <row r="5" spans="1:15" s="251" customFormat="1" ht="12.75" customHeight="1">
      <c r="A5" s="253"/>
      <c r="B5" s="254"/>
      <c r="C5" s="254"/>
      <c r="D5" s="254"/>
      <c r="E5" s="254"/>
      <c r="F5" s="254"/>
      <c r="G5" s="252"/>
      <c r="H5" s="254"/>
      <c r="I5" s="254"/>
      <c r="J5" s="254"/>
      <c r="K5" s="254"/>
      <c r="L5" s="254"/>
      <c r="M5" s="94" t="s">
        <v>124</v>
      </c>
      <c r="N5" s="90"/>
      <c r="O5" s="254"/>
    </row>
    <row r="6" spans="1:15" ht="12.75" customHeight="1">
      <c r="A6" s="255" t="s">
        <v>161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ht="21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</row>
    <row r="8" spans="1:15" ht="24" customHeight="1">
      <c r="A8" s="256" t="s">
        <v>126</v>
      </c>
      <c r="B8" s="257" t="s">
        <v>162</v>
      </c>
      <c r="C8" s="258" t="s">
        <v>163</v>
      </c>
      <c r="D8" s="258" t="s">
        <v>164</v>
      </c>
      <c r="E8" s="258"/>
      <c r="F8" s="258" t="s">
        <v>165</v>
      </c>
      <c r="G8" s="258"/>
      <c r="H8" s="258"/>
      <c r="I8" s="259" t="s">
        <v>166</v>
      </c>
      <c r="J8" s="259" t="s">
        <v>167</v>
      </c>
      <c r="K8" s="259"/>
      <c r="L8" s="259"/>
      <c r="M8" s="259"/>
      <c r="N8" s="259"/>
      <c r="O8" s="259" t="s">
        <v>168</v>
      </c>
    </row>
    <row r="9" spans="1:15" ht="18" customHeight="1">
      <c r="A9" s="256"/>
      <c r="B9" s="257"/>
      <c r="C9" s="258"/>
      <c r="D9" s="259" t="s">
        <v>169</v>
      </c>
      <c r="E9" s="259" t="s">
        <v>170</v>
      </c>
      <c r="F9" s="259" t="s">
        <v>171</v>
      </c>
      <c r="G9" s="259" t="s">
        <v>172</v>
      </c>
      <c r="H9" s="259" t="s">
        <v>173</v>
      </c>
      <c r="I9" s="259"/>
      <c r="J9" s="259">
        <v>2011</v>
      </c>
      <c r="K9" s="259">
        <v>2012</v>
      </c>
      <c r="L9" s="259">
        <v>2013</v>
      </c>
      <c r="M9" s="259">
        <v>2014</v>
      </c>
      <c r="N9" s="259">
        <v>2015</v>
      </c>
      <c r="O9" s="259"/>
    </row>
    <row r="10" spans="1:15" s="109" customFormat="1" ht="18.75" customHeight="1">
      <c r="A10" s="260"/>
      <c r="B10" s="261" t="s">
        <v>174</v>
      </c>
      <c r="C10" s="262" t="s">
        <v>89</v>
      </c>
      <c r="D10" s="262" t="s">
        <v>89</v>
      </c>
      <c r="E10" s="262" t="s">
        <v>89</v>
      </c>
      <c r="F10" s="262"/>
      <c r="G10" s="262"/>
      <c r="H10" s="262"/>
      <c r="I10" s="263">
        <f>I11+I12</f>
        <v>163748364</v>
      </c>
      <c r="J10" s="263">
        <f>J11+J12</f>
        <v>44099705</v>
      </c>
      <c r="K10" s="263">
        <f>K11+K12</f>
        <v>71049575</v>
      </c>
      <c r="L10" s="263">
        <f>L11+L12</f>
        <v>29101461</v>
      </c>
      <c r="M10" s="264">
        <f>M11+M12</f>
        <v>12329400</v>
      </c>
      <c r="N10" s="265">
        <v>0</v>
      </c>
      <c r="O10" s="266">
        <f aca="true" t="shared" si="0" ref="O10:O15">SUM(J10:M10)</f>
        <v>156580141</v>
      </c>
    </row>
    <row r="11" spans="1:15" s="273" customFormat="1" ht="15">
      <c r="A11" s="267"/>
      <c r="B11" s="268" t="s">
        <v>175</v>
      </c>
      <c r="C11" s="269" t="s">
        <v>89</v>
      </c>
      <c r="D11" s="269" t="s">
        <v>89</v>
      </c>
      <c r="E11" s="269" t="s">
        <v>89</v>
      </c>
      <c r="F11" s="269"/>
      <c r="G11" s="269"/>
      <c r="H11" s="269"/>
      <c r="I11" s="270">
        <f>I62</f>
        <v>2255434</v>
      </c>
      <c r="J11" s="270">
        <f>J62</f>
        <v>687917</v>
      </c>
      <c r="K11" s="270">
        <f>K62</f>
        <v>687917</v>
      </c>
      <c r="L11" s="270">
        <f>L62</f>
        <v>550200</v>
      </c>
      <c r="M11" s="270">
        <f>M62</f>
        <v>329400</v>
      </c>
      <c r="N11" s="271">
        <v>0</v>
      </c>
      <c r="O11" s="272">
        <f t="shared" si="0"/>
        <v>2255434</v>
      </c>
    </row>
    <row r="12" spans="1:16" s="273" customFormat="1" ht="15">
      <c r="A12" s="267"/>
      <c r="B12" s="268" t="s">
        <v>176</v>
      </c>
      <c r="C12" s="269" t="s">
        <v>89</v>
      </c>
      <c r="D12" s="269" t="s">
        <v>89</v>
      </c>
      <c r="E12" s="269" t="s">
        <v>89</v>
      </c>
      <c r="F12" s="269"/>
      <c r="G12" s="269"/>
      <c r="H12" s="269"/>
      <c r="I12" s="270">
        <f aca="true" t="shared" si="1" ref="I12:M13">I13</f>
        <v>161492930</v>
      </c>
      <c r="J12" s="270">
        <f t="shared" si="1"/>
        <v>43411788</v>
      </c>
      <c r="K12" s="270">
        <f t="shared" si="1"/>
        <v>70361658</v>
      </c>
      <c r="L12" s="270">
        <f t="shared" si="1"/>
        <v>28551261</v>
      </c>
      <c r="M12" s="270">
        <f t="shared" si="1"/>
        <v>12000000</v>
      </c>
      <c r="N12" s="271">
        <v>0</v>
      </c>
      <c r="O12" s="272">
        <f t="shared" si="0"/>
        <v>154324707</v>
      </c>
      <c r="P12" s="274"/>
    </row>
    <row r="13" spans="1:15" s="281" customFormat="1" ht="18.75" customHeight="1">
      <c r="A13" s="275" t="s">
        <v>177</v>
      </c>
      <c r="B13" s="276" t="s">
        <v>178</v>
      </c>
      <c r="C13" s="277" t="s">
        <v>89</v>
      </c>
      <c r="D13" s="277" t="s">
        <v>89</v>
      </c>
      <c r="E13" s="277" t="s">
        <v>89</v>
      </c>
      <c r="F13" s="277"/>
      <c r="G13" s="277"/>
      <c r="H13" s="277"/>
      <c r="I13" s="278">
        <f t="shared" si="1"/>
        <v>161492930</v>
      </c>
      <c r="J13" s="278">
        <f t="shared" si="1"/>
        <v>43411788</v>
      </c>
      <c r="K13" s="278">
        <f t="shared" si="1"/>
        <v>70361658</v>
      </c>
      <c r="L13" s="278">
        <f t="shared" si="1"/>
        <v>28551261</v>
      </c>
      <c r="M13" s="279">
        <f>M14</f>
        <v>12000000</v>
      </c>
      <c r="N13" s="278">
        <f>N14</f>
        <v>0</v>
      </c>
      <c r="O13" s="280">
        <f t="shared" si="0"/>
        <v>154324707</v>
      </c>
    </row>
    <row r="14" spans="1:19" s="273" customFormat="1" ht="15">
      <c r="A14" s="267"/>
      <c r="B14" s="268" t="s">
        <v>176</v>
      </c>
      <c r="C14" s="269" t="s">
        <v>89</v>
      </c>
      <c r="D14" s="269" t="s">
        <v>89</v>
      </c>
      <c r="E14" s="269" t="s">
        <v>89</v>
      </c>
      <c r="F14" s="269"/>
      <c r="G14" s="269"/>
      <c r="H14" s="269"/>
      <c r="I14" s="270">
        <f aca="true" t="shared" si="2" ref="I14:N14">I16+I51</f>
        <v>161492930</v>
      </c>
      <c r="J14" s="270">
        <f t="shared" si="2"/>
        <v>43411788</v>
      </c>
      <c r="K14" s="270">
        <f t="shared" si="2"/>
        <v>70361658</v>
      </c>
      <c r="L14" s="270">
        <f t="shared" si="2"/>
        <v>28551261</v>
      </c>
      <c r="M14" s="270">
        <f t="shared" si="2"/>
        <v>12000000</v>
      </c>
      <c r="N14" s="270">
        <f t="shared" si="2"/>
        <v>0</v>
      </c>
      <c r="O14" s="282">
        <f t="shared" si="0"/>
        <v>154324707</v>
      </c>
      <c r="P14" s="283"/>
      <c r="Q14" s="283"/>
      <c r="R14" s="283"/>
      <c r="S14" s="283"/>
    </row>
    <row r="15" spans="1:26" s="287" customFormat="1" ht="79.5" customHeight="1">
      <c r="A15" s="275" t="s">
        <v>179</v>
      </c>
      <c r="B15" s="276" t="s">
        <v>180</v>
      </c>
      <c r="C15" s="277" t="s">
        <v>89</v>
      </c>
      <c r="D15" s="277" t="s">
        <v>89</v>
      </c>
      <c r="E15" s="277" t="s">
        <v>89</v>
      </c>
      <c r="F15" s="277"/>
      <c r="G15" s="277"/>
      <c r="H15" s="277"/>
      <c r="I15" s="278">
        <f>I16</f>
        <v>148079900</v>
      </c>
      <c r="J15" s="278">
        <f>J16</f>
        <v>41928588</v>
      </c>
      <c r="K15" s="278">
        <f>K16</f>
        <v>61509658</v>
      </c>
      <c r="L15" s="278">
        <f>L16</f>
        <v>25551261</v>
      </c>
      <c r="M15" s="278">
        <f>M16</f>
        <v>12000000</v>
      </c>
      <c r="N15" s="277">
        <v>0</v>
      </c>
      <c r="O15" s="284">
        <f t="shared" si="0"/>
        <v>140989507</v>
      </c>
      <c r="P15" s="285"/>
      <c r="Q15" s="285"/>
      <c r="R15" s="285"/>
      <c r="S15" s="285"/>
      <c r="T15" s="286"/>
      <c r="U15" s="286"/>
      <c r="V15" s="286"/>
      <c r="W15" s="286"/>
      <c r="X15" s="286"/>
      <c r="Y15" s="286"/>
      <c r="Z15" s="286"/>
    </row>
    <row r="16" spans="1:15" s="273" customFormat="1" ht="15">
      <c r="A16" s="267"/>
      <c r="B16" s="268" t="s">
        <v>176</v>
      </c>
      <c r="C16" s="269" t="s">
        <v>89</v>
      </c>
      <c r="D16" s="269" t="s">
        <v>89</v>
      </c>
      <c r="E16" s="269" t="s">
        <v>89</v>
      </c>
      <c r="F16" s="269"/>
      <c r="G16" s="269"/>
      <c r="H16" s="269"/>
      <c r="I16" s="270">
        <f aca="true" t="shared" si="3" ref="I16:O16">I17+I27+I41</f>
        <v>148079900</v>
      </c>
      <c r="J16" s="270">
        <f t="shared" si="3"/>
        <v>41928588</v>
      </c>
      <c r="K16" s="270">
        <f t="shared" si="3"/>
        <v>61509658</v>
      </c>
      <c r="L16" s="270">
        <f t="shared" si="3"/>
        <v>25551261</v>
      </c>
      <c r="M16" s="270">
        <f t="shared" si="3"/>
        <v>12000000</v>
      </c>
      <c r="N16" s="270">
        <f t="shared" si="3"/>
        <v>0</v>
      </c>
      <c r="O16" s="270">
        <f t="shared" si="3"/>
        <v>140989507</v>
      </c>
    </row>
    <row r="17" spans="1:15" s="295" customFormat="1" ht="30.75" customHeight="1">
      <c r="A17" s="288" t="s">
        <v>181</v>
      </c>
      <c r="B17" s="289" t="s">
        <v>182</v>
      </c>
      <c r="C17" s="290" t="s">
        <v>183</v>
      </c>
      <c r="D17" s="291">
        <v>2004</v>
      </c>
      <c r="E17" s="291">
        <v>2013</v>
      </c>
      <c r="F17" s="291" t="s">
        <v>184</v>
      </c>
      <c r="G17" s="291"/>
      <c r="H17" s="291"/>
      <c r="I17" s="292">
        <f>I23+I18</f>
        <v>65337250</v>
      </c>
      <c r="J17" s="292">
        <f>J23+J18</f>
        <v>16712038</v>
      </c>
      <c r="K17" s="292">
        <f>K23+K18</f>
        <v>39639740</v>
      </c>
      <c r="L17" s="292">
        <f>L23+L18</f>
        <v>4351261</v>
      </c>
      <c r="M17" s="292">
        <f>M23+M18</f>
        <v>0</v>
      </c>
      <c r="N17" s="293"/>
      <c r="O17" s="294">
        <f>SUM(J17:M17)</f>
        <v>60703039</v>
      </c>
    </row>
    <row r="18" spans="1:15" s="51" customFormat="1" ht="15.75" customHeight="1">
      <c r="A18" s="296" t="s">
        <v>185</v>
      </c>
      <c r="B18" s="297" t="s">
        <v>186</v>
      </c>
      <c r="C18" s="298" t="s">
        <v>187</v>
      </c>
      <c r="D18" s="299">
        <v>2004</v>
      </c>
      <c r="E18" s="299">
        <v>2013</v>
      </c>
      <c r="F18" s="299" t="s">
        <v>188</v>
      </c>
      <c r="G18" s="299"/>
      <c r="H18" s="299"/>
      <c r="I18" s="300">
        <f>SUM(I19:I21)</f>
        <v>35492553</v>
      </c>
      <c r="J18" s="300">
        <f>SUM(J19:J21)</f>
        <v>4733123</v>
      </c>
      <c r="K18" s="300">
        <f>SUM(K19:K21)</f>
        <v>24550739</v>
      </c>
      <c r="L18" s="300">
        <f>SUM(L19:L21)</f>
        <v>4351261</v>
      </c>
      <c r="M18" s="299">
        <v>0</v>
      </c>
      <c r="N18" s="299">
        <v>0</v>
      </c>
      <c r="O18" s="272">
        <f aca="true" t="shared" si="4" ref="O18:O59">SUM(J18:M18)</f>
        <v>33635123</v>
      </c>
    </row>
    <row r="19" spans="1:15" s="51" customFormat="1" ht="12.75">
      <c r="A19" s="296"/>
      <c r="B19" s="297"/>
      <c r="C19" s="301"/>
      <c r="D19" s="302"/>
      <c r="E19" s="302"/>
      <c r="F19" s="302" t="s">
        <v>189</v>
      </c>
      <c r="G19" s="302" t="s">
        <v>190</v>
      </c>
      <c r="H19" s="302">
        <v>6050</v>
      </c>
      <c r="I19" s="303">
        <v>6605553</v>
      </c>
      <c r="J19" s="303">
        <v>1305123</v>
      </c>
      <c r="K19" s="303">
        <v>3453000</v>
      </c>
      <c r="L19" s="304"/>
      <c r="M19" s="305"/>
      <c r="N19" s="305"/>
      <c r="O19" s="272">
        <f t="shared" si="4"/>
        <v>4758123</v>
      </c>
    </row>
    <row r="20" spans="1:15" s="51" customFormat="1" ht="12.75">
      <c r="A20" s="296"/>
      <c r="B20" s="306"/>
      <c r="C20" s="307"/>
      <c r="D20" s="308"/>
      <c r="E20" s="308"/>
      <c r="F20" s="308"/>
      <c r="G20" s="308"/>
      <c r="H20" s="308">
        <v>6058</v>
      </c>
      <c r="I20" s="309">
        <f>SUM(J20:L20)</f>
        <v>21555500</v>
      </c>
      <c r="J20" s="309"/>
      <c r="K20" s="309">
        <v>17722999</v>
      </c>
      <c r="L20" s="310">
        <v>3832501</v>
      </c>
      <c r="M20" s="311"/>
      <c r="N20" s="311"/>
      <c r="O20" s="272">
        <f t="shared" si="4"/>
        <v>21555500</v>
      </c>
    </row>
    <row r="21" spans="1:15" s="51" customFormat="1" ht="12.75">
      <c r="A21" s="296"/>
      <c r="B21" s="312"/>
      <c r="C21" s="313"/>
      <c r="D21" s="314"/>
      <c r="E21" s="314"/>
      <c r="F21" s="314"/>
      <c r="G21" s="314"/>
      <c r="H21" s="314">
        <v>6059</v>
      </c>
      <c r="I21" s="315">
        <v>7331500</v>
      </c>
      <c r="J21" s="315">
        <v>3428000</v>
      </c>
      <c r="K21" s="315">
        <v>3374740</v>
      </c>
      <c r="L21" s="316">
        <v>518760</v>
      </c>
      <c r="M21" s="317"/>
      <c r="N21" s="317"/>
      <c r="O21" s="272">
        <f t="shared" si="4"/>
        <v>7321500</v>
      </c>
    </row>
    <row r="22" spans="1:15" s="51" customFormat="1" ht="9" customHeight="1">
      <c r="A22" s="296"/>
      <c r="B22" s="318"/>
      <c r="C22" s="298"/>
      <c r="D22" s="319"/>
      <c r="E22" s="319"/>
      <c r="F22" s="320"/>
      <c r="G22" s="321"/>
      <c r="H22" s="322"/>
      <c r="I22" s="147"/>
      <c r="J22" s="147"/>
      <c r="K22" s="147"/>
      <c r="L22" s="300"/>
      <c r="M22" s="299"/>
      <c r="N22" s="299"/>
      <c r="O22" s="272">
        <f t="shared" si="4"/>
        <v>0</v>
      </c>
    </row>
    <row r="23" spans="1:15" s="51" customFormat="1" ht="14.25" customHeight="1">
      <c r="A23" s="296" t="s">
        <v>191</v>
      </c>
      <c r="B23" s="155" t="s">
        <v>192</v>
      </c>
      <c r="C23" s="298" t="s">
        <v>187</v>
      </c>
      <c r="D23" s="319">
        <v>2004</v>
      </c>
      <c r="E23" s="319">
        <v>2012</v>
      </c>
      <c r="F23" s="319" t="s">
        <v>188</v>
      </c>
      <c r="G23" s="319"/>
      <c r="H23" s="319"/>
      <c r="I23" s="300">
        <f>SUM(I24:I26)</f>
        <v>29844697</v>
      </c>
      <c r="J23" s="300">
        <f>SUM(J24:J26)</f>
        <v>11978915</v>
      </c>
      <c r="K23" s="300">
        <f>SUM(K24:K26)</f>
        <v>15089001</v>
      </c>
      <c r="L23" s="300">
        <f>SUM(L24:L26)</f>
        <v>0</v>
      </c>
      <c r="M23" s="299">
        <v>0</v>
      </c>
      <c r="N23" s="299">
        <v>0</v>
      </c>
      <c r="O23" s="272">
        <f t="shared" si="4"/>
        <v>27067916</v>
      </c>
    </row>
    <row r="24" spans="1:15" s="51" customFormat="1" ht="12.75">
      <c r="A24" s="296"/>
      <c r="B24" s="155"/>
      <c r="C24" s="298"/>
      <c r="D24" s="319"/>
      <c r="E24" s="319"/>
      <c r="F24" s="302" t="s">
        <v>189</v>
      </c>
      <c r="G24" s="302" t="s">
        <v>190</v>
      </c>
      <c r="H24" s="302">
        <v>6050</v>
      </c>
      <c r="I24" s="303">
        <v>5657097</v>
      </c>
      <c r="J24" s="303">
        <v>2181315</v>
      </c>
      <c r="K24" s="303">
        <v>699001</v>
      </c>
      <c r="L24" s="304"/>
      <c r="M24" s="305"/>
      <c r="N24" s="305"/>
      <c r="O24" s="272">
        <f t="shared" si="4"/>
        <v>2880316</v>
      </c>
    </row>
    <row r="25" spans="1:15" s="51" customFormat="1" ht="12.75">
      <c r="A25" s="296"/>
      <c r="B25" s="312"/>
      <c r="C25" s="298"/>
      <c r="D25" s="319"/>
      <c r="E25" s="319"/>
      <c r="F25" s="308"/>
      <c r="G25" s="308"/>
      <c r="H25" s="308">
        <v>6058</v>
      </c>
      <c r="I25" s="309">
        <f>SUM(J25:L25)</f>
        <v>19711490</v>
      </c>
      <c r="J25" s="309">
        <v>9076490</v>
      </c>
      <c r="K25" s="309">
        <v>10635000</v>
      </c>
      <c r="L25" s="310"/>
      <c r="M25" s="311"/>
      <c r="N25" s="311"/>
      <c r="O25" s="272">
        <f t="shared" si="4"/>
        <v>19711490</v>
      </c>
    </row>
    <row r="26" spans="1:15" s="51" customFormat="1" ht="15">
      <c r="A26" s="296"/>
      <c r="B26" s="323"/>
      <c r="C26" s="324"/>
      <c r="D26" s="325"/>
      <c r="E26" s="319"/>
      <c r="F26" s="314"/>
      <c r="G26" s="314"/>
      <c r="H26" s="314">
        <v>6059</v>
      </c>
      <c r="I26" s="315">
        <f>SUM(J26:L26)</f>
        <v>4476110</v>
      </c>
      <c r="J26" s="315">
        <v>721110</v>
      </c>
      <c r="K26" s="315">
        <v>3755000</v>
      </c>
      <c r="L26" s="316"/>
      <c r="M26" s="317"/>
      <c r="N26" s="317"/>
      <c r="O26" s="272">
        <f t="shared" si="4"/>
        <v>4476110</v>
      </c>
    </row>
    <row r="27" spans="1:16" s="281" customFormat="1" ht="15" customHeight="1">
      <c r="A27" s="326" t="s">
        <v>193</v>
      </c>
      <c r="B27" s="327" t="s">
        <v>194</v>
      </c>
      <c r="C27" s="328" t="s">
        <v>183</v>
      </c>
      <c r="D27" s="328">
        <v>2009</v>
      </c>
      <c r="E27" s="328">
        <v>2012</v>
      </c>
      <c r="F27" s="328" t="s">
        <v>195</v>
      </c>
      <c r="G27" s="328"/>
      <c r="H27" s="328"/>
      <c r="I27" s="292">
        <f>SUM(I28+I31+I34+I38)</f>
        <v>6070000</v>
      </c>
      <c r="J27" s="329">
        <f>J28+J31+J34+J38</f>
        <v>3515122</v>
      </c>
      <c r="K27" s="329">
        <f>K28+K31+K34+K38</f>
        <v>2469918</v>
      </c>
      <c r="L27" s="329">
        <f>L28+L31+L34+L38</f>
        <v>0</v>
      </c>
      <c r="M27" s="329">
        <f>SUM(M28:M38)</f>
        <v>0</v>
      </c>
      <c r="N27" s="330"/>
      <c r="O27" s="294">
        <f t="shared" si="4"/>
        <v>5985040</v>
      </c>
      <c r="P27" s="331">
        <f>P28+P31+P34+P38</f>
        <v>5985040</v>
      </c>
    </row>
    <row r="28" spans="1:16" s="51" customFormat="1" ht="12.75" customHeight="1">
      <c r="A28" s="296" t="s">
        <v>196</v>
      </c>
      <c r="B28" s="312" t="s">
        <v>197</v>
      </c>
      <c r="C28" s="319" t="s">
        <v>198</v>
      </c>
      <c r="D28" s="319">
        <v>2010</v>
      </c>
      <c r="E28" s="319">
        <v>2012</v>
      </c>
      <c r="F28" s="319" t="s">
        <v>188</v>
      </c>
      <c r="G28" s="319"/>
      <c r="H28" s="319"/>
      <c r="I28" s="147">
        <f>SUM(I29:I30)</f>
        <v>1500000</v>
      </c>
      <c r="J28" s="147">
        <f>SUM(J29:J30)</f>
        <v>875000</v>
      </c>
      <c r="K28" s="147">
        <f>SUM(K29:K30)</f>
        <v>620120</v>
      </c>
      <c r="L28" s="147">
        <f>SUM(L29:L30)</f>
        <v>0</v>
      </c>
      <c r="M28" s="299">
        <v>0</v>
      </c>
      <c r="N28" s="299">
        <v>0</v>
      </c>
      <c r="O28" s="272">
        <f t="shared" si="4"/>
        <v>1495120</v>
      </c>
      <c r="P28" s="80">
        <f>O29+O30</f>
        <v>1495120</v>
      </c>
    </row>
    <row r="29" spans="1:15" s="51" customFormat="1" ht="12.75">
      <c r="A29" s="296"/>
      <c r="B29" s="312"/>
      <c r="C29" s="302"/>
      <c r="D29" s="302"/>
      <c r="E29" s="302"/>
      <c r="F29" s="302">
        <v>921</v>
      </c>
      <c r="G29" s="302">
        <v>92109</v>
      </c>
      <c r="H29" s="302">
        <v>6058</v>
      </c>
      <c r="I29" s="303">
        <f>SUM(J29:L29)</f>
        <v>1275000</v>
      </c>
      <c r="J29" s="303">
        <v>800000</v>
      </c>
      <c r="K29" s="303">
        <v>475000</v>
      </c>
      <c r="L29" s="305"/>
      <c r="M29" s="305"/>
      <c r="N29" s="305"/>
      <c r="O29" s="272">
        <f t="shared" si="4"/>
        <v>1275000</v>
      </c>
    </row>
    <row r="30" spans="1:15" s="51" customFormat="1" ht="12.75">
      <c r="A30" s="296"/>
      <c r="B30" s="312"/>
      <c r="C30" s="314"/>
      <c r="D30" s="314"/>
      <c r="E30" s="314"/>
      <c r="F30" s="314"/>
      <c r="G30" s="314"/>
      <c r="H30" s="314">
        <v>6059</v>
      </c>
      <c r="I30" s="315">
        <v>225000</v>
      </c>
      <c r="J30" s="315">
        <v>75000</v>
      </c>
      <c r="K30" s="315">
        <v>145120</v>
      </c>
      <c r="L30" s="317"/>
      <c r="M30" s="317"/>
      <c r="N30" s="317"/>
      <c r="O30" s="272">
        <f t="shared" si="4"/>
        <v>220120</v>
      </c>
    </row>
    <row r="31" spans="1:16" s="51" customFormat="1" ht="14.25" customHeight="1">
      <c r="A31" s="296" t="s">
        <v>199</v>
      </c>
      <c r="B31" s="312" t="s">
        <v>200</v>
      </c>
      <c r="C31" s="319" t="s">
        <v>198</v>
      </c>
      <c r="D31" s="319">
        <v>2010</v>
      </c>
      <c r="E31" s="319">
        <v>2012</v>
      </c>
      <c r="F31" s="319" t="s">
        <v>188</v>
      </c>
      <c r="G31" s="319"/>
      <c r="H31" s="319"/>
      <c r="I31" s="147">
        <f>I33+I32</f>
        <v>1500000</v>
      </c>
      <c r="J31" s="147">
        <f>SUM(J32:J33)</f>
        <v>875000</v>
      </c>
      <c r="K31" s="147">
        <f>SUM(K32:K33)</f>
        <v>620120</v>
      </c>
      <c r="L31" s="147">
        <f>SUM(L32:L33)</f>
        <v>0</v>
      </c>
      <c r="M31" s="299">
        <v>0</v>
      </c>
      <c r="N31" s="299">
        <v>0</v>
      </c>
      <c r="O31" s="272">
        <f t="shared" si="4"/>
        <v>1495120</v>
      </c>
      <c r="P31" s="80">
        <f>O32+O33</f>
        <v>1495120</v>
      </c>
    </row>
    <row r="32" spans="1:15" s="51" customFormat="1" ht="12.75" customHeight="1">
      <c r="A32" s="296"/>
      <c r="B32" s="312"/>
      <c r="C32" s="319"/>
      <c r="D32" s="319"/>
      <c r="E32" s="319"/>
      <c r="F32" s="302">
        <v>921</v>
      </c>
      <c r="G32" s="302">
        <v>92109</v>
      </c>
      <c r="H32" s="302">
        <v>6058</v>
      </c>
      <c r="I32" s="303">
        <f>SUM(J32:L32)</f>
        <v>1275000</v>
      </c>
      <c r="J32" s="303">
        <v>800000</v>
      </c>
      <c r="K32" s="303">
        <v>475000</v>
      </c>
      <c r="L32" s="305"/>
      <c r="M32" s="305"/>
      <c r="N32" s="305"/>
      <c r="O32" s="272">
        <f t="shared" si="4"/>
        <v>1275000</v>
      </c>
    </row>
    <row r="33" spans="1:15" s="51" customFormat="1" ht="12.75" customHeight="1">
      <c r="A33" s="296"/>
      <c r="B33" s="312"/>
      <c r="C33" s="319"/>
      <c r="D33" s="319"/>
      <c r="E33" s="319"/>
      <c r="F33" s="314"/>
      <c r="G33" s="314"/>
      <c r="H33" s="314">
        <v>6059</v>
      </c>
      <c r="I33" s="315">
        <v>225000</v>
      </c>
      <c r="J33" s="315">
        <v>75000</v>
      </c>
      <c r="K33" s="315">
        <v>145120</v>
      </c>
      <c r="L33" s="317"/>
      <c r="M33" s="317"/>
      <c r="N33" s="317"/>
      <c r="O33" s="272">
        <f t="shared" si="4"/>
        <v>220120</v>
      </c>
    </row>
    <row r="34" spans="1:16" s="51" customFormat="1" ht="15" customHeight="1">
      <c r="A34" s="296" t="s">
        <v>201</v>
      </c>
      <c r="B34" s="155" t="s">
        <v>202</v>
      </c>
      <c r="C34" s="319" t="s">
        <v>198</v>
      </c>
      <c r="D34" s="319">
        <v>2009</v>
      </c>
      <c r="E34" s="319">
        <v>2012</v>
      </c>
      <c r="F34" s="319" t="s">
        <v>188</v>
      </c>
      <c r="G34" s="319"/>
      <c r="H34" s="319"/>
      <c r="I34" s="147">
        <f>SUM(I35:I37)</f>
        <v>1570000</v>
      </c>
      <c r="J34" s="147">
        <f>SUM(J36:J37)</f>
        <v>890122</v>
      </c>
      <c r="K34" s="147">
        <f>SUM(K36:K37)</f>
        <v>609558</v>
      </c>
      <c r="L34" s="147">
        <f>SUM(L36:L37)</f>
        <v>0</v>
      </c>
      <c r="M34" s="299">
        <v>0</v>
      </c>
      <c r="N34" s="299">
        <v>0</v>
      </c>
      <c r="O34" s="272">
        <f t="shared" si="4"/>
        <v>1499680</v>
      </c>
      <c r="P34" s="80">
        <f>O36+O37</f>
        <v>1499680</v>
      </c>
    </row>
    <row r="35" spans="1:15" s="51" customFormat="1" ht="15" customHeight="1">
      <c r="A35" s="296"/>
      <c r="B35" s="155"/>
      <c r="C35" s="319"/>
      <c r="D35" s="319"/>
      <c r="E35" s="319"/>
      <c r="F35" s="302">
        <v>921</v>
      </c>
      <c r="G35" s="302">
        <v>92109</v>
      </c>
      <c r="H35" s="332">
        <v>6050</v>
      </c>
      <c r="I35" s="333">
        <v>70320</v>
      </c>
      <c r="J35" s="333"/>
      <c r="K35" s="333"/>
      <c r="L35" s="333"/>
      <c r="M35" s="334"/>
      <c r="N35" s="334"/>
      <c r="O35" s="272"/>
    </row>
    <row r="36" spans="1:15" s="51" customFormat="1" ht="12.75">
      <c r="A36" s="296"/>
      <c r="B36" s="155"/>
      <c r="C36" s="319"/>
      <c r="D36" s="319"/>
      <c r="E36" s="319"/>
      <c r="F36" s="302"/>
      <c r="G36" s="302"/>
      <c r="H36" s="302">
        <v>6058</v>
      </c>
      <c r="I36" s="303">
        <f>SUM(J36:L36)</f>
        <v>1375000</v>
      </c>
      <c r="J36" s="303">
        <v>825442</v>
      </c>
      <c r="K36" s="303">
        <v>549558</v>
      </c>
      <c r="L36" s="305"/>
      <c r="M36" s="305"/>
      <c r="N36" s="305"/>
      <c r="O36" s="272">
        <f t="shared" si="4"/>
        <v>1375000</v>
      </c>
    </row>
    <row r="37" spans="1:15" s="51" customFormat="1" ht="12" customHeight="1">
      <c r="A37" s="296"/>
      <c r="B37" s="312"/>
      <c r="C37" s="319"/>
      <c r="D37" s="319"/>
      <c r="E37" s="319"/>
      <c r="F37" s="314"/>
      <c r="G37" s="314"/>
      <c r="H37" s="314">
        <v>6059</v>
      </c>
      <c r="I37" s="315">
        <f>SUM(J37:L37)</f>
        <v>124680</v>
      </c>
      <c r="J37" s="315">
        <v>64680</v>
      </c>
      <c r="K37" s="315">
        <v>60000</v>
      </c>
      <c r="L37" s="317"/>
      <c r="M37" s="317"/>
      <c r="N37" s="317"/>
      <c r="O37" s="272">
        <f t="shared" si="4"/>
        <v>124680</v>
      </c>
    </row>
    <row r="38" spans="1:16" s="51" customFormat="1" ht="12.75" customHeight="1">
      <c r="A38" s="296" t="s">
        <v>203</v>
      </c>
      <c r="B38" s="312" t="s">
        <v>204</v>
      </c>
      <c r="C38" s="319" t="s">
        <v>198</v>
      </c>
      <c r="D38" s="319">
        <v>2010</v>
      </c>
      <c r="E38" s="319">
        <v>2012</v>
      </c>
      <c r="F38" s="319" t="s">
        <v>188</v>
      </c>
      <c r="G38" s="319"/>
      <c r="H38" s="319"/>
      <c r="I38" s="147">
        <f>I39+I40</f>
        <v>1500000</v>
      </c>
      <c r="J38" s="147">
        <f>SUM(J39:J40)</f>
        <v>875000</v>
      </c>
      <c r="K38" s="147">
        <f>SUM(K39:K40)</f>
        <v>620120</v>
      </c>
      <c r="L38" s="147">
        <f>SUM(L39:L40)</f>
        <v>0</v>
      </c>
      <c r="M38" s="299">
        <v>0</v>
      </c>
      <c r="N38" s="299">
        <v>0</v>
      </c>
      <c r="O38" s="272">
        <f t="shared" si="4"/>
        <v>1495120</v>
      </c>
      <c r="P38" s="80">
        <f>O39+O40</f>
        <v>1495120</v>
      </c>
    </row>
    <row r="39" spans="1:15" s="51" customFormat="1" ht="12.75">
      <c r="A39" s="296"/>
      <c r="B39" s="312"/>
      <c r="C39" s="319"/>
      <c r="D39" s="319"/>
      <c r="E39" s="319"/>
      <c r="F39" s="302">
        <v>921</v>
      </c>
      <c r="G39" s="302">
        <v>92109</v>
      </c>
      <c r="H39" s="302">
        <v>6058</v>
      </c>
      <c r="I39" s="303">
        <f>SUM(J39:L39)</f>
        <v>1275000</v>
      </c>
      <c r="J39" s="303">
        <v>800000</v>
      </c>
      <c r="K39" s="303">
        <v>475000</v>
      </c>
      <c r="L39" s="305"/>
      <c r="M39" s="305"/>
      <c r="N39" s="305"/>
      <c r="O39" s="272">
        <f t="shared" si="4"/>
        <v>1275000</v>
      </c>
    </row>
    <row r="40" spans="1:15" s="51" customFormat="1" ht="12.75">
      <c r="A40" s="296"/>
      <c r="B40" s="312"/>
      <c r="C40" s="319"/>
      <c r="D40" s="319"/>
      <c r="E40" s="319"/>
      <c r="F40" s="314"/>
      <c r="G40" s="314"/>
      <c r="H40" s="314">
        <v>6059</v>
      </c>
      <c r="I40" s="315">
        <v>225000</v>
      </c>
      <c r="J40" s="315">
        <v>75000</v>
      </c>
      <c r="K40" s="315">
        <v>145120</v>
      </c>
      <c r="L40" s="317"/>
      <c r="M40" s="317"/>
      <c r="N40" s="317"/>
      <c r="O40" s="272">
        <f t="shared" si="4"/>
        <v>220120</v>
      </c>
    </row>
    <row r="41" spans="1:15" s="281" customFormat="1" ht="15">
      <c r="A41" s="335" t="s">
        <v>205</v>
      </c>
      <c r="B41" s="336" t="s">
        <v>206</v>
      </c>
      <c r="C41" s="328" t="s">
        <v>183</v>
      </c>
      <c r="D41" s="328">
        <v>2006</v>
      </c>
      <c r="E41" s="328">
        <v>2014</v>
      </c>
      <c r="F41" s="328"/>
      <c r="G41" s="328"/>
      <c r="H41" s="328"/>
      <c r="I41" s="292">
        <f>I42</f>
        <v>76672650</v>
      </c>
      <c r="J41" s="329">
        <f>J42</f>
        <v>21701428</v>
      </c>
      <c r="K41" s="329">
        <f>K42</f>
        <v>19400000</v>
      </c>
      <c r="L41" s="329">
        <f>L42</f>
        <v>21200000</v>
      </c>
      <c r="M41" s="337">
        <f>M42</f>
        <v>12000000</v>
      </c>
      <c r="N41" s="330"/>
      <c r="O41" s="294">
        <f t="shared" si="4"/>
        <v>74301428</v>
      </c>
    </row>
    <row r="42" spans="1:15" s="51" customFormat="1" ht="24.75" customHeight="1">
      <c r="A42" s="338" t="s">
        <v>207</v>
      </c>
      <c r="B42" s="318" t="s">
        <v>208</v>
      </c>
      <c r="C42" s="298" t="s">
        <v>187</v>
      </c>
      <c r="D42" s="334">
        <v>2006</v>
      </c>
      <c r="E42" s="334">
        <v>2014</v>
      </c>
      <c r="F42" s="334" t="s">
        <v>188</v>
      </c>
      <c r="G42" s="334"/>
      <c r="H42" s="334"/>
      <c r="I42" s="339">
        <f aca="true" t="shared" si="5" ref="I42:N42">SUM(I43:I49)</f>
        <v>76672650</v>
      </c>
      <c r="J42" s="339">
        <f t="shared" si="5"/>
        <v>21701428</v>
      </c>
      <c r="K42" s="339">
        <f t="shared" si="5"/>
        <v>19400000</v>
      </c>
      <c r="L42" s="339">
        <f t="shared" si="5"/>
        <v>21200000</v>
      </c>
      <c r="M42" s="339">
        <f t="shared" si="5"/>
        <v>12000000</v>
      </c>
      <c r="N42" s="339">
        <f t="shared" si="5"/>
        <v>0</v>
      </c>
      <c r="O42" s="340">
        <f>SUM(J42:M42)</f>
        <v>74301428</v>
      </c>
    </row>
    <row r="43" spans="1:15" s="51" customFormat="1" ht="12.75">
      <c r="A43" s="341"/>
      <c r="B43" s="342" t="s">
        <v>209</v>
      </c>
      <c r="C43" s="343"/>
      <c r="D43" s="344"/>
      <c r="E43" s="344"/>
      <c r="F43" s="344">
        <v>801</v>
      </c>
      <c r="G43" s="344">
        <v>80101</v>
      </c>
      <c r="H43" s="344">
        <v>6050</v>
      </c>
      <c r="I43" s="345">
        <v>2972650</v>
      </c>
      <c r="J43" s="345">
        <v>601428</v>
      </c>
      <c r="K43" s="345"/>
      <c r="L43" s="346"/>
      <c r="M43" s="347"/>
      <c r="N43" s="347"/>
      <c r="O43" s="348">
        <f>SUM(J43:M43)</f>
        <v>601428</v>
      </c>
    </row>
    <row r="44" spans="1:15" s="51" customFormat="1" ht="12.75">
      <c r="A44" s="349"/>
      <c r="B44" s="350"/>
      <c r="C44" s="351"/>
      <c r="D44" s="319"/>
      <c r="E44" s="319"/>
      <c r="F44" s="319"/>
      <c r="G44" s="319"/>
      <c r="H44" s="319">
        <v>6058</v>
      </c>
      <c r="I44" s="147">
        <f>SUM(J44:L44)</f>
        <v>14000000</v>
      </c>
      <c r="J44" s="147">
        <v>10000000</v>
      </c>
      <c r="K44" s="147">
        <v>4000000</v>
      </c>
      <c r="L44" s="300"/>
      <c r="M44" s="299"/>
      <c r="N44" s="299"/>
      <c r="O44" s="352">
        <f t="shared" si="4"/>
        <v>14000000</v>
      </c>
    </row>
    <row r="45" spans="1:15" s="51" customFormat="1" ht="12.75">
      <c r="A45" s="353"/>
      <c r="B45" s="354"/>
      <c r="C45" s="355"/>
      <c r="D45" s="356"/>
      <c r="E45" s="356"/>
      <c r="F45" s="356"/>
      <c r="G45" s="356"/>
      <c r="H45" s="356">
        <v>6059</v>
      </c>
      <c r="I45" s="357">
        <f>SUM(J45:L45)</f>
        <v>19300000</v>
      </c>
      <c r="J45" s="357">
        <v>10900000</v>
      </c>
      <c r="K45" s="357">
        <v>8400000</v>
      </c>
      <c r="L45" s="358"/>
      <c r="M45" s="359"/>
      <c r="N45" s="359"/>
      <c r="O45" s="360">
        <f t="shared" si="4"/>
        <v>19300000</v>
      </c>
    </row>
    <row r="46" spans="1:15" s="51" customFormat="1" ht="12.75" customHeight="1">
      <c r="A46" s="341"/>
      <c r="B46" s="350" t="s">
        <v>210</v>
      </c>
      <c r="C46" s="361"/>
      <c r="D46" s="362"/>
      <c r="E46" s="362"/>
      <c r="F46" s="362"/>
      <c r="G46" s="362"/>
      <c r="H46" s="362">
        <v>6058</v>
      </c>
      <c r="I46" s="363">
        <f>SUM(J46:L46)</f>
        <v>10000000</v>
      </c>
      <c r="J46" s="363"/>
      <c r="K46" s="363">
        <v>5000000</v>
      </c>
      <c r="L46" s="363">
        <v>5000000</v>
      </c>
      <c r="M46" s="362"/>
      <c r="N46" s="364"/>
      <c r="O46" s="365">
        <f t="shared" si="4"/>
        <v>10000000</v>
      </c>
    </row>
    <row r="47" spans="1:15" s="51" customFormat="1" ht="12.75" customHeight="1">
      <c r="A47" s="349"/>
      <c r="B47" s="350"/>
      <c r="C47" s="366"/>
      <c r="D47" s="367"/>
      <c r="E47" s="367"/>
      <c r="F47" s="367"/>
      <c r="G47" s="367"/>
      <c r="H47" s="367">
        <v>6059</v>
      </c>
      <c r="I47" s="368">
        <f>SUM(J47:M47)</f>
        <v>10400000</v>
      </c>
      <c r="J47" s="368">
        <v>200000</v>
      </c>
      <c r="K47" s="368">
        <v>2000000</v>
      </c>
      <c r="L47" s="368">
        <v>4200000</v>
      </c>
      <c r="M47" s="368">
        <v>4000000</v>
      </c>
      <c r="N47" s="369"/>
      <c r="O47" s="370">
        <f t="shared" si="4"/>
        <v>10400000</v>
      </c>
    </row>
    <row r="48" spans="1:15" s="51" customFormat="1" ht="12" customHeight="1">
      <c r="A48" s="341"/>
      <c r="B48" s="371" t="s">
        <v>211</v>
      </c>
      <c r="C48" s="372"/>
      <c r="D48" s="373"/>
      <c r="E48" s="373"/>
      <c r="F48" s="373"/>
      <c r="G48" s="373"/>
      <c r="H48" s="373">
        <v>6058</v>
      </c>
      <c r="I48" s="374">
        <f>SUM(J48:M48)</f>
        <v>10000000</v>
      </c>
      <c r="J48" s="374"/>
      <c r="K48" s="374"/>
      <c r="L48" s="374">
        <v>10000000</v>
      </c>
      <c r="M48" s="373"/>
      <c r="N48" s="375"/>
      <c r="O48" s="348">
        <f t="shared" si="4"/>
        <v>10000000</v>
      </c>
    </row>
    <row r="49" spans="1:15" s="51" customFormat="1" ht="11.25" customHeight="1">
      <c r="A49" s="353"/>
      <c r="B49" s="371"/>
      <c r="C49" s="376"/>
      <c r="D49" s="377"/>
      <c r="E49" s="377"/>
      <c r="F49" s="377"/>
      <c r="G49" s="377"/>
      <c r="H49" s="377">
        <v>6059</v>
      </c>
      <c r="I49" s="378">
        <f>SUM(J49:M49)</f>
        <v>10000000</v>
      </c>
      <c r="J49" s="378"/>
      <c r="K49" s="378"/>
      <c r="L49" s="378">
        <v>2000000</v>
      </c>
      <c r="M49" s="378">
        <v>8000000</v>
      </c>
      <c r="N49" s="379"/>
      <c r="O49" s="360">
        <f t="shared" si="4"/>
        <v>10000000</v>
      </c>
    </row>
    <row r="50" spans="1:23" s="287" customFormat="1" ht="27.75" customHeight="1">
      <c r="A50" s="380" t="s">
        <v>132</v>
      </c>
      <c r="B50" s="261" t="s">
        <v>212</v>
      </c>
      <c r="C50" s="265"/>
      <c r="D50" s="265" t="s">
        <v>89</v>
      </c>
      <c r="E50" s="265" t="s">
        <v>89</v>
      </c>
      <c r="F50" s="265"/>
      <c r="G50" s="265"/>
      <c r="H50" s="265"/>
      <c r="I50" s="263">
        <f>I51</f>
        <v>13413030</v>
      </c>
      <c r="J50" s="263">
        <f>J51</f>
        <v>1483200</v>
      </c>
      <c r="K50" s="263">
        <f>K51</f>
        <v>8852000</v>
      </c>
      <c r="L50" s="263">
        <f>L51</f>
        <v>3000000</v>
      </c>
      <c r="M50" s="381">
        <v>0</v>
      </c>
      <c r="N50" s="381">
        <v>0</v>
      </c>
      <c r="O50" s="382">
        <f t="shared" si="4"/>
        <v>13335200</v>
      </c>
      <c r="P50" s="51"/>
      <c r="Q50" s="51"/>
      <c r="R50" s="51"/>
      <c r="S50" s="51"/>
      <c r="T50" s="51"/>
      <c r="U50" s="51"/>
      <c r="V50" s="51"/>
      <c r="W50" s="51"/>
    </row>
    <row r="51" spans="1:15" s="386" customFormat="1" ht="15">
      <c r="A51" s="383"/>
      <c r="B51" s="384" t="s">
        <v>176</v>
      </c>
      <c r="C51" s="385"/>
      <c r="D51" s="385" t="s">
        <v>89</v>
      </c>
      <c r="E51" s="385" t="s">
        <v>89</v>
      </c>
      <c r="F51" s="385"/>
      <c r="G51" s="385"/>
      <c r="H51" s="385"/>
      <c r="I51" s="300">
        <f aca="true" t="shared" si="6" ref="I51:N51">I57+I59+I52</f>
        <v>13413030</v>
      </c>
      <c r="J51" s="300">
        <f t="shared" si="6"/>
        <v>1483200</v>
      </c>
      <c r="K51" s="300">
        <f t="shared" si="6"/>
        <v>8852000</v>
      </c>
      <c r="L51" s="300">
        <f t="shared" si="6"/>
        <v>3000000</v>
      </c>
      <c r="M51" s="300">
        <f t="shared" si="6"/>
        <v>0</v>
      </c>
      <c r="N51" s="300">
        <f t="shared" si="6"/>
        <v>0</v>
      </c>
      <c r="O51" s="272">
        <f>SUM(J51:M51)</f>
        <v>13335200</v>
      </c>
    </row>
    <row r="52" spans="1:15" s="386" customFormat="1" ht="15">
      <c r="A52" s="387" t="s">
        <v>213</v>
      </c>
      <c r="B52" s="336" t="s">
        <v>214</v>
      </c>
      <c r="C52" s="388" t="s">
        <v>183</v>
      </c>
      <c r="D52" s="328">
        <v>2009</v>
      </c>
      <c r="E52" s="328">
        <v>2012</v>
      </c>
      <c r="F52" s="389"/>
      <c r="G52" s="329"/>
      <c r="H52" s="329"/>
      <c r="I52" s="389">
        <f>SUM(I53:I56)</f>
        <v>8771030</v>
      </c>
      <c r="J52" s="389">
        <f>SUM(J53:J56)</f>
        <v>1195200</v>
      </c>
      <c r="K52" s="389">
        <f>SUM(K53:K56)</f>
        <v>7500000</v>
      </c>
      <c r="L52" s="389">
        <f>SUM(L53:L56)</f>
        <v>0</v>
      </c>
      <c r="M52" s="329"/>
      <c r="N52" s="329"/>
      <c r="O52" s="390">
        <f t="shared" si="4"/>
        <v>8695200</v>
      </c>
    </row>
    <row r="53" spans="1:15" s="386" customFormat="1" ht="36.75">
      <c r="A53" s="296" t="s">
        <v>215</v>
      </c>
      <c r="B53" s="391" t="s">
        <v>216</v>
      </c>
      <c r="C53" s="319" t="s">
        <v>198</v>
      </c>
      <c r="D53" s="319">
        <v>2009</v>
      </c>
      <c r="E53" s="319">
        <v>2012</v>
      </c>
      <c r="F53" s="147">
        <v>600</v>
      </c>
      <c r="G53" s="147" t="s">
        <v>217</v>
      </c>
      <c r="H53" s="147">
        <v>6050</v>
      </c>
      <c r="I53" s="147">
        <v>2771030</v>
      </c>
      <c r="J53" s="147">
        <v>395200</v>
      </c>
      <c r="K53" s="147">
        <v>2300000</v>
      </c>
      <c r="L53" s="300"/>
      <c r="M53" s="300"/>
      <c r="N53" s="300"/>
      <c r="O53" s="272">
        <f>SUM(J53:M53)</f>
        <v>2695200</v>
      </c>
    </row>
    <row r="54" spans="1:15" s="386" customFormat="1" ht="24" customHeight="1">
      <c r="A54" s="392" t="s">
        <v>218</v>
      </c>
      <c r="B54" s="393" t="s">
        <v>219</v>
      </c>
      <c r="C54" s="319" t="s">
        <v>198</v>
      </c>
      <c r="D54" s="319">
        <v>2011</v>
      </c>
      <c r="E54" s="319">
        <v>2012</v>
      </c>
      <c r="F54" s="147">
        <v>600</v>
      </c>
      <c r="G54" s="147" t="s">
        <v>217</v>
      </c>
      <c r="H54" s="147">
        <v>6050</v>
      </c>
      <c r="I54" s="147">
        <f>J54+K54</f>
        <v>2000000</v>
      </c>
      <c r="J54" s="147">
        <v>200000</v>
      </c>
      <c r="K54" s="147">
        <v>1800000</v>
      </c>
      <c r="L54" s="300"/>
      <c r="M54" s="300"/>
      <c r="N54" s="300"/>
      <c r="O54" s="272">
        <f t="shared" si="4"/>
        <v>2000000</v>
      </c>
    </row>
    <row r="55" spans="1:15" s="386" customFormat="1" ht="24" customHeight="1">
      <c r="A55" s="296" t="s">
        <v>220</v>
      </c>
      <c r="B55" s="393" t="s">
        <v>221</v>
      </c>
      <c r="C55" s="319" t="s">
        <v>198</v>
      </c>
      <c r="D55" s="319">
        <v>2011</v>
      </c>
      <c r="E55" s="319">
        <v>2012</v>
      </c>
      <c r="F55" s="147">
        <v>600</v>
      </c>
      <c r="G55" s="147" t="s">
        <v>217</v>
      </c>
      <c r="H55" s="147">
        <v>6050</v>
      </c>
      <c r="I55" s="147">
        <f>J55+K55</f>
        <v>2000000</v>
      </c>
      <c r="J55" s="147">
        <v>400000</v>
      </c>
      <c r="K55" s="147">
        <v>1600000</v>
      </c>
      <c r="L55" s="147"/>
      <c r="M55" s="147"/>
      <c r="N55" s="147"/>
      <c r="O55" s="272">
        <f t="shared" si="4"/>
        <v>2000000</v>
      </c>
    </row>
    <row r="56" spans="1:15" s="386" customFormat="1" ht="12.75">
      <c r="A56" s="392" t="s">
        <v>222</v>
      </c>
      <c r="B56" s="391" t="s">
        <v>223</v>
      </c>
      <c r="C56" s="319" t="s">
        <v>198</v>
      </c>
      <c r="D56" s="319">
        <v>2011</v>
      </c>
      <c r="E56" s="319">
        <v>2012</v>
      </c>
      <c r="F56" s="147">
        <v>600</v>
      </c>
      <c r="G56" s="147" t="s">
        <v>217</v>
      </c>
      <c r="H56" s="147">
        <v>6050</v>
      </c>
      <c r="I56" s="147">
        <f>J56+K56</f>
        <v>2000000</v>
      </c>
      <c r="J56" s="147">
        <v>200000</v>
      </c>
      <c r="K56" s="147">
        <v>1800000</v>
      </c>
      <c r="L56" s="147"/>
      <c r="M56" s="147"/>
      <c r="N56" s="147"/>
      <c r="O56" s="272">
        <f t="shared" si="4"/>
        <v>2000000</v>
      </c>
    </row>
    <row r="57" spans="1:15" s="396" customFormat="1" ht="15">
      <c r="A57" s="394" t="s">
        <v>224</v>
      </c>
      <c r="B57" s="395" t="s">
        <v>194</v>
      </c>
      <c r="C57" s="328" t="s">
        <v>183</v>
      </c>
      <c r="D57" s="328">
        <v>2011</v>
      </c>
      <c r="E57" s="328">
        <v>2013</v>
      </c>
      <c r="F57" s="328"/>
      <c r="G57" s="328"/>
      <c r="H57" s="328"/>
      <c r="I57" s="389">
        <f>I58</f>
        <v>2543000</v>
      </c>
      <c r="J57" s="329">
        <f>SUM(J58:J58)</f>
        <v>98000</v>
      </c>
      <c r="K57" s="329">
        <f>SUM(K58:K58)</f>
        <v>445000</v>
      </c>
      <c r="L57" s="329">
        <f>SUM(L58:L58)</f>
        <v>2000000</v>
      </c>
      <c r="M57" s="329">
        <f>SUM(M58:M58)</f>
        <v>0</v>
      </c>
      <c r="N57" s="329">
        <f>SUM(N58:N58)</f>
        <v>0</v>
      </c>
      <c r="O57" s="390">
        <f>SUM(J57:M57)</f>
        <v>2543000</v>
      </c>
    </row>
    <row r="58" spans="1:15" s="51" customFormat="1" ht="46.5" customHeight="1">
      <c r="A58" s="296" t="s">
        <v>225</v>
      </c>
      <c r="B58" s="397" t="s">
        <v>226</v>
      </c>
      <c r="C58" s="319" t="s">
        <v>198</v>
      </c>
      <c r="D58" s="319">
        <v>2011</v>
      </c>
      <c r="E58" s="319">
        <v>2013</v>
      </c>
      <c r="F58" s="319">
        <v>700</v>
      </c>
      <c r="G58" s="319">
        <v>70005</v>
      </c>
      <c r="H58" s="319">
        <v>6050</v>
      </c>
      <c r="I58" s="147">
        <v>2543000</v>
      </c>
      <c r="J58" s="147">
        <v>98000</v>
      </c>
      <c r="K58" s="147">
        <v>445000</v>
      </c>
      <c r="L58" s="300">
        <v>2000000</v>
      </c>
      <c r="M58" s="299">
        <v>0</v>
      </c>
      <c r="N58" s="299">
        <v>0</v>
      </c>
      <c r="O58" s="272">
        <f t="shared" si="4"/>
        <v>2543000</v>
      </c>
    </row>
    <row r="59" spans="1:15" s="396" customFormat="1" ht="15">
      <c r="A59" s="387" t="s">
        <v>227</v>
      </c>
      <c r="B59" s="398" t="s">
        <v>206</v>
      </c>
      <c r="C59" s="328" t="s">
        <v>183</v>
      </c>
      <c r="D59" s="328">
        <v>2010</v>
      </c>
      <c r="E59" s="328">
        <v>2013</v>
      </c>
      <c r="F59" s="328"/>
      <c r="G59" s="328"/>
      <c r="H59" s="328"/>
      <c r="I59" s="389">
        <f aca="true" t="shared" si="7" ref="I59:N59">I60</f>
        <v>2099000</v>
      </c>
      <c r="J59" s="389">
        <f t="shared" si="7"/>
        <v>190000</v>
      </c>
      <c r="K59" s="389">
        <f t="shared" si="7"/>
        <v>907000</v>
      </c>
      <c r="L59" s="389">
        <f t="shared" si="7"/>
        <v>1000000</v>
      </c>
      <c r="M59" s="389">
        <f t="shared" si="7"/>
        <v>0</v>
      </c>
      <c r="N59" s="389">
        <f t="shared" si="7"/>
        <v>0</v>
      </c>
      <c r="O59" s="390">
        <f t="shared" si="4"/>
        <v>2097000</v>
      </c>
    </row>
    <row r="60" spans="1:15" s="51" customFormat="1" ht="12.75">
      <c r="A60" s="296" t="s">
        <v>228</v>
      </c>
      <c r="B60" s="397" t="s">
        <v>229</v>
      </c>
      <c r="C60" s="298" t="s">
        <v>187</v>
      </c>
      <c r="D60" s="319">
        <v>2010</v>
      </c>
      <c r="E60" s="319">
        <v>2013</v>
      </c>
      <c r="F60" s="319">
        <v>801</v>
      </c>
      <c r="G60" s="319">
        <v>80104</v>
      </c>
      <c r="H60" s="319">
        <v>6050</v>
      </c>
      <c r="I60" s="147">
        <v>2099000</v>
      </c>
      <c r="J60" s="147">
        <v>190000</v>
      </c>
      <c r="K60" s="147">
        <v>907000</v>
      </c>
      <c r="L60" s="300">
        <v>1000000</v>
      </c>
      <c r="M60" s="299">
        <v>0</v>
      </c>
      <c r="N60" s="299">
        <v>0</v>
      </c>
      <c r="O60" s="272">
        <f>SUM(J60:M60)</f>
        <v>2097000</v>
      </c>
    </row>
    <row r="61" spans="1:15" ht="77.25" customHeight="1">
      <c r="A61" s="275" t="s">
        <v>230</v>
      </c>
      <c r="B61" s="399" t="s">
        <v>231</v>
      </c>
      <c r="C61" s="400"/>
      <c r="D61" s="277" t="s">
        <v>89</v>
      </c>
      <c r="E61" s="400" t="s">
        <v>89</v>
      </c>
      <c r="F61" s="400"/>
      <c r="G61" s="400"/>
      <c r="H61" s="400"/>
      <c r="I61" s="278">
        <f>I62</f>
        <v>2255434</v>
      </c>
      <c r="J61" s="278">
        <f>J62</f>
        <v>687917</v>
      </c>
      <c r="K61" s="278">
        <f>K62</f>
        <v>687917</v>
      </c>
      <c r="L61" s="278">
        <f>L62</f>
        <v>550200</v>
      </c>
      <c r="M61" s="278">
        <f>M62</f>
        <v>329400</v>
      </c>
      <c r="N61" s="278">
        <v>0</v>
      </c>
      <c r="O61" s="280">
        <f>SUM(J61:L61)</f>
        <v>1926034</v>
      </c>
    </row>
    <row r="62" spans="1:15" s="273" customFormat="1" ht="12.75">
      <c r="A62" s="267"/>
      <c r="B62" s="401" t="s">
        <v>175</v>
      </c>
      <c r="C62" s="299"/>
      <c r="D62" s="135" t="s">
        <v>89</v>
      </c>
      <c r="E62" s="402" t="s">
        <v>89</v>
      </c>
      <c r="F62" s="402"/>
      <c r="G62" s="402"/>
      <c r="H62" s="402"/>
      <c r="I62" s="270">
        <f>SUM(I63:I71)</f>
        <v>2255434</v>
      </c>
      <c r="J62" s="270">
        <f>SUM(J63:J71)</f>
        <v>687917</v>
      </c>
      <c r="K62" s="270">
        <f>SUM(K63:K71)</f>
        <v>687917</v>
      </c>
      <c r="L62" s="270">
        <f>SUM(L64:L71)</f>
        <v>550200</v>
      </c>
      <c r="M62" s="270">
        <f>SUM(M64:M71)</f>
        <v>329400</v>
      </c>
      <c r="N62" s="112">
        <v>0</v>
      </c>
      <c r="O62" s="272">
        <f aca="true" t="shared" si="8" ref="O62:O71">I62</f>
        <v>2255434</v>
      </c>
    </row>
    <row r="63" spans="1:15" ht="24.75">
      <c r="A63" s="225" t="s">
        <v>179</v>
      </c>
      <c r="B63" s="403" t="s">
        <v>232</v>
      </c>
      <c r="C63" s="319" t="s">
        <v>198</v>
      </c>
      <c r="D63" s="135">
        <v>2011</v>
      </c>
      <c r="E63" s="135">
        <v>2012</v>
      </c>
      <c r="F63" s="135">
        <v>700</v>
      </c>
      <c r="G63" s="135">
        <v>70005</v>
      </c>
      <c r="H63" s="135">
        <v>4400</v>
      </c>
      <c r="I63" s="112">
        <f>J63+K63</f>
        <v>44344</v>
      </c>
      <c r="J63" s="112">
        <v>22172</v>
      </c>
      <c r="K63" s="112">
        <v>22172</v>
      </c>
      <c r="L63" s="112">
        <v>0</v>
      </c>
      <c r="M63" s="112">
        <v>0</v>
      </c>
      <c r="N63" s="112">
        <v>0</v>
      </c>
      <c r="O63" s="129">
        <f t="shared" si="8"/>
        <v>44344</v>
      </c>
    </row>
    <row r="64" spans="1:15" ht="24.75">
      <c r="A64" s="225" t="s">
        <v>132</v>
      </c>
      <c r="B64" s="403" t="s">
        <v>233</v>
      </c>
      <c r="C64" s="319" t="s">
        <v>198</v>
      </c>
      <c r="D64" s="135">
        <v>2011</v>
      </c>
      <c r="E64" s="135">
        <v>2012</v>
      </c>
      <c r="F64" s="135">
        <v>700</v>
      </c>
      <c r="G64" s="135">
        <v>70005</v>
      </c>
      <c r="H64" s="135">
        <v>4300</v>
      </c>
      <c r="I64" s="112">
        <f>J64+K64</f>
        <v>28306</v>
      </c>
      <c r="J64" s="112">
        <v>14153</v>
      </c>
      <c r="K64" s="112">
        <v>14153</v>
      </c>
      <c r="L64" s="112">
        <v>0</v>
      </c>
      <c r="M64" s="112">
        <v>0</v>
      </c>
      <c r="N64" s="112">
        <v>0</v>
      </c>
      <c r="O64" s="129">
        <f t="shared" si="8"/>
        <v>28306</v>
      </c>
    </row>
    <row r="65" spans="1:15" ht="36.75">
      <c r="A65" s="225" t="s">
        <v>134</v>
      </c>
      <c r="B65" s="403" t="s">
        <v>234</v>
      </c>
      <c r="C65" s="404" t="s">
        <v>187</v>
      </c>
      <c r="D65" s="135">
        <v>2011</v>
      </c>
      <c r="E65" s="135">
        <v>2012</v>
      </c>
      <c r="F65" s="135">
        <v>600</v>
      </c>
      <c r="G65" s="135">
        <v>60016</v>
      </c>
      <c r="H65" s="135">
        <v>4300</v>
      </c>
      <c r="I65" s="112">
        <f>J65+K65</f>
        <v>40626</v>
      </c>
      <c r="J65" s="112">
        <v>20313</v>
      </c>
      <c r="K65" s="112">
        <v>20313</v>
      </c>
      <c r="L65" s="112">
        <v>0</v>
      </c>
      <c r="M65" s="112">
        <v>0</v>
      </c>
      <c r="N65" s="112">
        <v>0</v>
      </c>
      <c r="O65" s="129">
        <f t="shared" si="8"/>
        <v>40626</v>
      </c>
    </row>
    <row r="66" spans="1:15" ht="12.75">
      <c r="A66" s="225" t="s">
        <v>136</v>
      </c>
      <c r="B66" s="403" t="s">
        <v>235</v>
      </c>
      <c r="C66" s="319" t="s">
        <v>236</v>
      </c>
      <c r="D66" s="135">
        <v>2011</v>
      </c>
      <c r="E66" s="135">
        <v>2013</v>
      </c>
      <c r="F66" s="135">
        <v>750</v>
      </c>
      <c r="G66" s="135">
        <v>75023</v>
      </c>
      <c r="H66" s="135">
        <v>4300</v>
      </c>
      <c r="I66" s="112">
        <f>J66+K66+L66</f>
        <v>549000</v>
      </c>
      <c r="J66" s="112">
        <v>183000</v>
      </c>
      <c r="K66" s="112">
        <v>183000</v>
      </c>
      <c r="L66" s="112">
        <v>183000</v>
      </c>
      <c r="M66" s="112">
        <v>0</v>
      </c>
      <c r="N66" s="112">
        <v>0</v>
      </c>
      <c r="O66" s="129">
        <f t="shared" si="8"/>
        <v>549000</v>
      </c>
    </row>
    <row r="67" spans="1:15" ht="12.75">
      <c r="A67" s="225" t="s">
        <v>138</v>
      </c>
      <c r="B67" s="403" t="s">
        <v>237</v>
      </c>
      <c r="C67" s="319" t="s">
        <v>236</v>
      </c>
      <c r="D67" s="135">
        <v>2011</v>
      </c>
      <c r="E67" s="135">
        <v>2012</v>
      </c>
      <c r="F67" s="135">
        <v>750</v>
      </c>
      <c r="G67" s="135">
        <v>75023</v>
      </c>
      <c r="H67" s="135">
        <v>4300</v>
      </c>
      <c r="I67" s="112">
        <f>J67+K67</f>
        <v>8198</v>
      </c>
      <c r="J67" s="112">
        <v>4099</v>
      </c>
      <c r="K67" s="135">
        <v>4099</v>
      </c>
      <c r="L67" s="135">
        <v>0</v>
      </c>
      <c r="M67" s="112">
        <v>0</v>
      </c>
      <c r="N67" s="112">
        <v>0</v>
      </c>
      <c r="O67" s="129">
        <f t="shared" si="8"/>
        <v>8198</v>
      </c>
    </row>
    <row r="68" spans="1:15" ht="37.5" customHeight="1">
      <c r="A68" s="225" t="s">
        <v>140</v>
      </c>
      <c r="B68" s="403" t="s">
        <v>238</v>
      </c>
      <c r="C68" s="319" t="s">
        <v>236</v>
      </c>
      <c r="D68" s="135">
        <v>2011</v>
      </c>
      <c r="E68" s="135">
        <v>2012</v>
      </c>
      <c r="F68" s="135">
        <v>750</v>
      </c>
      <c r="G68" s="135">
        <v>75023</v>
      </c>
      <c r="H68" s="135">
        <v>4300</v>
      </c>
      <c r="I68" s="112">
        <f>J68+K68</f>
        <v>6360</v>
      </c>
      <c r="J68" s="112">
        <v>3180</v>
      </c>
      <c r="K68" s="135">
        <v>3180</v>
      </c>
      <c r="L68" s="135">
        <v>0</v>
      </c>
      <c r="M68" s="112">
        <v>0</v>
      </c>
      <c r="N68" s="112">
        <v>0</v>
      </c>
      <c r="O68" s="129">
        <f t="shared" si="8"/>
        <v>6360</v>
      </c>
    </row>
    <row r="69" spans="1:15" ht="36.75">
      <c r="A69" s="225" t="s">
        <v>142</v>
      </c>
      <c r="B69" s="403" t="s">
        <v>239</v>
      </c>
      <c r="C69" s="319" t="s">
        <v>240</v>
      </c>
      <c r="D69" s="135">
        <v>2011</v>
      </c>
      <c r="E69" s="135">
        <v>2013</v>
      </c>
      <c r="F69" s="135">
        <v>700</v>
      </c>
      <c r="G69" s="135">
        <v>70005</v>
      </c>
      <c r="H69" s="135">
        <v>4400</v>
      </c>
      <c r="I69" s="112">
        <f>J69+K69+L69</f>
        <v>252000</v>
      </c>
      <c r="J69" s="112">
        <v>108000</v>
      </c>
      <c r="K69" s="112">
        <v>108000</v>
      </c>
      <c r="L69" s="112">
        <v>36000</v>
      </c>
      <c r="M69" s="112">
        <v>0</v>
      </c>
      <c r="N69" s="112">
        <v>0</v>
      </c>
      <c r="O69" s="129">
        <f t="shared" si="8"/>
        <v>252000</v>
      </c>
    </row>
    <row r="70" spans="1:15" ht="24.75">
      <c r="A70" s="225" t="s">
        <v>144</v>
      </c>
      <c r="B70" s="403" t="s">
        <v>241</v>
      </c>
      <c r="C70" s="319" t="s">
        <v>240</v>
      </c>
      <c r="D70" s="135">
        <v>2011</v>
      </c>
      <c r="E70" s="135">
        <v>2013</v>
      </c>
      <c r="F70" s="135">
        <v>700</v>
      </c>
      <c r="G70" s="135">
        <v>70005</v>
      </c>
      <c r="H70" s="135">
        <v>4400</v>
      </c>
      <c r="I70" s="112">
        <f>J70+K70+L70</f>
        <v>9000</v>
      </c>
      <c r="J70" s="112">
        <v>3600</v>
      </c>
      <c r="K70" s="112">
        <v>3600</v>
      </c>
      <c r="L70" s="135">
        <v>1800</v>
      </c>
      <c r="M70" s="112">
        <v>0</v>
      </c>
      <c r="N70" s="112">
        <v>0</v>
      </c>
      <c r="O70" s="129">
        <f t="shared" si="8"/>
        <v>9000</v>
      </c>
    </row>
    <row r="71" spans="1:15" ht="48.75">
      <c r="A71" s="225" t="s">
        <v>146</v>
      </c>
      <c r="B71" s="403" t="s">
        <v>242</v>
      </c>
      <c r="C71" s="319" t="s">
        <v>240</v>
      </c>
      <c r="D71" s="135">
        <v>2011</v>
      </c>
      <c r="E71" s="135">
        <v>2014</v>
      </c>
      <c r="F71" s="135">
        <v>801</v>
      </c>
      <c r="G71" s="135">
        <v>80101</v>
      </c>
      <c r="H71" s="135">
        <v>4400</v>
      </c>
      <c r="I71" s="112">
        <f>J71+K71+L71+M71</f>
        <v>1317600</v>
      </c>
      <c r="J71" s="112">
        <v>329400</v>
      </c>
      <c r="K71" s="112">
        <v>329400</v>
      </c>
      <c r="L71" s="112">
        <v>329400</v>
      </c>
      <c r="M71" s="112">
        <v>329400</v>
      </c>
      <c r="N71" s="112">
        <v>0</v>
      </c>
      <c r="O71" s="129">
        <f t="shared" si="8"/>
        <v>1317600</v>
      </c>
    </row>
    <row r="73" spans="1:3" ht="15">
      <c r="A73" s="251"/>
      <c r="B73" s="405"/>
      <c r="C73" s="406"/>
    </row>
    <row r="74" spans="1:3" ht="15">
      <c r="A74" s="251"/>
      <c r="B74" s="407"/>
      <c r="C74" s="406"/>
    </row>
    <row r="75" spans="1:3" ht="15">
      <c r="A75" s="408"/>
      <c r="B75" s="407"/>
      <c r="C75" s="406"/>
    </row>
    <row r="76" spans="1:3" ht="12.75">
      <c r="A76" s="251"/>
      <c r="B76" s="251"/>
      <c r="C76" s="406"/>
    </row>
  </sheetData>
  <mergeCells count="23">
    <mergeCell ref="A6:O7"/>
    <mergeCell ref="A8:A9"/>
    <mergeCell ref="B8:B9"/>
    <mergeCell ref="C8:C9"/>
    <mergeCell ref="D8:E8"/>
    <mergeCell ref="F8:H8"/>
    <mergeCell ref="I8:I9"/>
    <mergeCell ref="J8:N8"/>
    <mergeCell ref="O8:O9"/>
    <mergeCell ref="F17:H17"/>
    <mergeCell ref="B18:B19"/>
    <mergeCell ref="F18:H18"/>
    <mergeCell ref="B23:B24"/>
    <mergeCell ref="F23:H23"/>
    <mergeCell ref="F27:H27"/>
    <mergeCell ref="F28:H28"/>
    <mergeCell ref="F31:H31"/>
    <mergeCell ref="B34:B36"/>
    <mergeCell ref="F34:H34"/>
    <mergeCell ref="F38:H38"/>
    <mergeCell ref="F42:H42"/>
    <mergeCell ref="B46:B47"/>
    <mergeCell ref="B48:B49"/>
  </mergeCells>
  <printOptions horizontalCentered="1"/>
  <pageMargins left="0.39375" right="0.19652777777777777" top="0.27569444444444446" bottom="0.5118055555555555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UG Lesznowola</cp:lastModifiedBy>
  <cp:lastPrinted>2011-01-13T12:05:01Z</cp:lastPrinted>
  <dcterms:created xsi:type="dcterms:W3CDTF">2010-09-03T11:17:53Z</dcterms:created>
  <dcterms:modified xsi:type="dcterms:W3CDTF">2011-01-13T12:05:38Z</dcterms:modified>
  <cp:category/>
  <cp:version/>
  <cp:contentType/>
  <cp:contentStatus/>
  <cp:revision>1</cp:revision>
</cp:coreProperties>
</file>