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75" tabRatio="514" activeTab="4"/>
  </bookViews>
  <sheets>
    <sheet name="Arkusz4" sheetId="1" r:id="rId1"/>
    <sheet name="Arkusz5" sheetId="2" r:id="rId2"/>
    <sheet name="WPF" sheetId="3" r:id="rId3"/>
    <sheet name="Prognoza długu" sheetId="4" r:id="rId4"/>
    <sheet name="Wykaz przedsięwzięć" sheetId="5" r:id="rId5"/>
    <sheet name="Arkusz1" sheetId="6" r:id="rId6"/>
    <sheet name="Arkusz2" sheetId="7" r:id="rId7"/>
  </sheets>
  <definedNames>
    <definedName name="_xlnm.Print_Area" localSheetId="3">'Prognoza długu'!$I$16</definedName>
    <definedName name="_xlnm.Print_Titles" localSheetId="4">'Wykaz przedsięwzięć'!$8:$9</definedName>
  </definedNames>
  <calcPr calcId="124519"/>
</workbook>
</file>

<file path=xl/calcChain.xml><?xml version="1.0" encoding="utf-8"?>
<calcChain xmlns="http://schemas.openxmlformats.org/spreadsheetml/2006/main">
  <c r="G60" i="3"/>
  <c r="H27"/>
  <c r="H35" s="1"/>
  <c r="H60" s="1"/>
  <c r="H53"/>
  <c r="E5" i="1"/>
  <c r="I33" i="3" s="1"/>
  <c r="H37"/>
  <c r="F44" i="1" l="1"/>
  <c r="D45"/>
  <c r="R82" i="3"/>
  <c r="I43" i="5"/>
  <c r="K80" i="3"/>
  <c r="L80"/>
  <c r="M80"/>
  <c r="N80"/>
  <c r="O80"/>
  <c r="P80"/>
  <c r="Q80"/>
  <c r="R80"/>
  <c r="K81"/>
  <c r="L81"/>
  <c r="M81"/>
  <c r="N81"/>
  <c r="O81"/>
  <c r="P81"/>
  <c r="Q81"/>
  <c r="R81"/>
  <c r="K82"/>
  <c r="L82"/>
  <c r="M82"/>
  <c r="N82"/>
  <c r="O82"/>
  <c r="P82"/>
  <c r="Q82"/>
  <c r="J79"/>
  <c r="K79"/>
  <c r="L79"/>
  <c r="M79"/>
  <c r="N79"/>
  <c r="O79"/>
  <c r="P79"/>
  <c r="Q79"/>
  <c r="R79"/>
  <c r="I79"/>
  <c r="J82"/>
  <c r="J81"/>
  <c r="J80"/>
  <c r="H73"/>
  <c r="G73"/>
  <c r="F73"/>
  <c r="E73"/>
  <c r="D73"/>
  <c r="D28" i="4"/>
  <c r="E28"/>
  <c r="F28"/>
  <c r="G28"/>
  <c r="C28"/>
  <c r="H42"/>
  <c r="G28" i="3"/>
  <c r="I38" i="5"/>
  <c r="I40"/>
  <c r="I37"/>
  <c r="I33"/>
  <c r="I30"/>
  <c r="I60"/>
  <c r="Q60"/>
  <c r="Q59"/>
  <c r="I56"/>
  <c r="I52"/>
  <c r="I48"/>
  <c r="Q48"/>
  <c r="I45"/>
  <c r="M24"/>
  <c r="L24"/>
  <c r="K24"/>
  <c r="L18" s="1"/>
  <c r="I27"/>
  <c r="Q27"/>
  <c r="Q19"/>
  <c r="Q22"/>
  <c r="I21"/>
  <c r="I26"/>
  <c r="Q55"/>
  <c r="Q56"/>
  <c r="Q57"/>
  <c r="Q58"/>
  <c r="Q61"/>
  <c r="Q62"/>
  <c r="Q63"/>
  <c r="Q64"/>
  <c r="Q65"/>
  <c r="Q66"/>
  <c r="Q67"/>
  <c r="Q68"/>
  <c r="Q69"/>
  <c r="Q70"/>
  <c r="Q71"/>
  <c r="Q72"/>
  <c r="Q54"/>
  <c r="Q53"/>
  <c r="Q51"/>
  <c r="Q52"/>
  <c r="Q50"/>
  <c r="Q49"/>
  <c r="Q47"/>
  <c r="Q45"/>
  <c r="Q41"/>
  <c r="Q40"/>
  <c r="Q39"/>
  <c r="Q38"/>
  <c r="Q37"/>
  <c r="Q35"/>
  <c r="Q28"/>
  <c r="Q26"/>
  <c r="Q25"/>
  <c r="K51"/>
  <c r="L51" s="1"/>
  <c r="K43"/>
  <c r="K42" s="1"/>
  <c r="L42" s="1"/>
  <c r="K39"/>
  <c r="K35"/>
  <c r="K32"/>
  <c r="L32"/>
  <c r="K18"/>
  <c r="J17"/>
  <c r="L12"/>
  <c r="K12"/>
  <c r="Q12"/>
  <c r="Q34"/>
  <c r="Q33"/>
  <c r="Q32"/>
  <c r="Q31"/>
  <c r="Q30"/>
  <c r="Q29"/>
  <c r="L64"/>
  <c r="L65"/>
  <c r="L66"/>
  <c r="L67"/>
  <c r="L68"/>
  <c r="L69"/>
  <c r="L70"/>
  <c r="L71"/>
  <c r="L72"/>
  <c r="L63"/>
  <c r="L62"/>
  <c r="L61"/>
  <c r="L55"/>
  <c r="L56"/>
  <c r="L57"/>
  <c r="L58"/>
  <c r="L59"/>
  <c r="L60"/>
  <c r="L54"/>
  <c r="L53"/>
  <c r="L52"/>
  <c r="L25"/>
  <c r="L26"/>
  <c r="L27"/>
  <c r="I24" s="1"/>
  <c r="L29"/>
  <c r="L30"/>
  <c r="L31"/>
  <c r="L33"/>
  <c r="L34"/>
  <c r="L35"/>
  <c r="L36"/>
  <c r="L37"/>
  <c r="L38"/>
  <c r="L39"/>
  <c r="L40"/>
  <c r="L41"/>
  <c r="L43"/>
  <c r="L44"/>
  <c r="Q44" s="1"/>
  <c r="L45"/>
  <c r="L46"/>
  <c r="Q46" s="1"/>
  <c r="L47"/>
  <c r="L48"/>
  <c r="L49"/>
  <c r="L50"/>
  <c r="Q20"/>
  <c r="Q21"/>
  <c r="K19"/>
  <c r="L19"/>
  <c r="L21"/>
  <c r="L22"/>
  <c r="L20"/>
  <c r="J12"/>
  <c r="I12"/>
  <c r="F10" i="4"/>
  <c r="G10" s="1"/>
  <c r="F52"/>
  <c r="C4" i="1"/>
  <c r="D7"/>
  <c r="D8"/>
  <c r="H6" s="1"/>
  <c r="D9"/>
  <c r="H30"/>
  <c r="F32"/>
  <c r="D33"/>
  <c r="F36"/>
  <c r="P29" i="3" s="1"/>
  <c r="D34" i="1"/>
  <c r="D40"/>
  <c r="F40"/>
  <c r="Q29" i="3" s="1"/>
  <c r="H42" i="1"/>
  <c r="R29" i="3"/>
  <c r="C5" i="2"/>
  <c r="E5"/>
  <c r="G5"/>
  <c r="C6"/>
  <c r="E6"/>
  <c r="C7"/>
  <c r="C8"/>
  <c r="E8" s="1"/>
  <c r="C9"/>
  <c r="C10" s="1"/>
  <c r="F9"/>
  <c r="F13"/>
  <c r="F17"/>
  <c r="D18"/>
  <c r="F21"/>
  <c r="H45" s="1"/>
  <c r="F25"/>
  <c r="F29"/>
  <c r="F33"/>
  <c r="D35"/>
  <c r="F37"/>
  <c r="D38"/>
  <c r="D39"/>
  <c r="D40"/>
  <c r="D46"/>
  <c r="F41"/>
  <c r="F45"/>
  <c r="C14" i="4"/>
  <c r="D14"/>
  <c r="E14"/>
  <c r="F14"/>
  <c r="G14"/>
  <c r="C21"/>
  <c r="D21"/>
  <c r="E21"/>
  <c r="F21"/>
  <c r="G21"/>
  <c r="H21"/>
  <c r="I21"/>
  <c r="J21"/>
  <c r="K21"/>
  <c r="L21"/>
  <c r="M21"/>
  <c r="N21"/>
  <c r="O21"/>
  <c r="P21"/>
  <c r="Q21"/>
  <c r="C22"/>
  <c r="D22"/>
  <c r="E22"/>
  <c r="F22"/>
  <c r="G22"/>
  <c r="H22"/>
  <c r="I22"/>
  <c r="J22"/>
  <c r="N22"/>
  <c r="C23"/>
  <c r="D23"/>
  <c r="E23"/>
  <c r="F23"/>
  <c r="G23"/>
  <c r="H23"/>
  <c r="I23"/>
  <c r="J23"/>
  <c r="K23"/>
  <c r="L23"/>
  <c r="M23"/>
  <c r="N23"/>
  <c r="O23"/>
  <c r="P23"/>
  <c r="Q23"/>
  <c r="C25"/>
  <c r="C56" s="1"/>
  <c r="D25"/>
  <c r="D56" s="1"/>
  <c r="E25"/>
  <c r="F71" i="3" s="1"/>
  <c r="F25" i="4"/>
  <c r="F56" s="1"/>
  <c r="G25"/>
  <c r="G56" s="1"/>
  <c r="C26"/>
  <c r="D26"/>
  <c r="E26"/>
  <c r="F26"/>
  <c r="G26"/>
  <c r="L26"/>
  <c r="M26"/>
  <c r="P26"/>
  <c r="Q26"/>
  <c r="C46"/>
  <c r="D46"/>
  <c r="E46"/>
  <c r="F46"/>
  <c r="G46"/>
  <c r="H46"/>
  <c r="I46"/>
  <c r="J46"/>
  <c r="K46"/>
  <c r="L46"/>
  <c r="M46"/>
  <c r="N46"/>
  <c r="O46"/>
  <c r="P46"/>
  <c r="Q46"/>
  <c r="C52"/>
  <c r="D52"/>
  <c r="E52"/>
  <c r="G52"/>
  <c r="G53"/>
  <c r="H53"/>
  <c r="I53"/>
  <c r="I43" s="1"/>
  <c r="J53"/>
  <c r="J43" s="1"/>
  <c r="K53"/>
  <c r="K43" s="1"/>
  <c r="L53"/>
  <c r="L43" s="1"/>
  <c r="M53"/>
  <c r="M43" s="1"/>
  <c r="N53"/>
  <c r="N43" s="1"/>
  <c r="O53"/>
  <c r="O43" s="1"/>
  <c r="P53"/>
  <c r="P43" s="1"/>
  <c r="Q53"/>
  <c r="Q43" s="1"/>
  <c r="G54"/>
  <c r="H54"/>
  <c r="I54"/>
  <c r="I44" s="1"/>
  <c r="J54"/>
  <c r="J44" s="1"/>
  <c r="K54"/>
  <c r="K44" s="1"/>
  <c r="L54"/>
  <c r="L44" s="1"/>
  <c r="M54"/>
  <c r="M44" s="1"/>
  <c r="N54"/>
  <c r="N44" s="1"/>
  <c r="O54"/>
  <c r="O44" s="1"/>
  <c r="P54"/>
  <c r="P44" s="1"/>
  <c r="Q54"/>
  <c r="Q44" s="1"/>
  <c r="G55"/>
  <c r="H55"/>
  <c r="I55"/>
  <c r="I45" s="1"/>
  <c r="J55"/>
  <c r="J45" s="1"/>
  <c r="K55"/>
  <c r="K45" s="1"/>
  <c r="L55"/>
  <c r="L45" s="1"/>
  <c r="M55"/>
  <c r="M45" s="1"/>
  <c r="N55"/>
  <c r="N45" s="1"/>
  <c r="O55"/>
  <c r="O45" s="1"/>
  <c r="P55"/>
  <c r="P45" s="1"/>
  <c r="Q55"/>
  <c r="Q45" s="1"/>
  <c r="D13" i="3"/>
  <c r="C19" i="4"/>
  <c r="E13" i="3"/>
  <c r="E23" s="1"/>
  <c r="E27" s="1"/>
  <c r="F13"/>
  <c r="E19" i="4" s="1"/>
  <c r="G13" i="3"/>
  <c r="H13"/>
  <c r="G16" i="4" s="1"/>
  <c r="I13" i="3"/>
  <c r="I23" s="1"/>
  <c r="I27" s="1"/>
  <c r="J13"/>
  <c r="J23" s="1"/>
  <c r="J27" s="1"/>
  <c r="K13"/>
  <c r="O13"/>
  <c r="L15"/>
  <c r="K22" i="4" s="1"/>
  <c r="M15" i="3"/>
  <c r="M13" s="1"/>
  <c r="M23" s="1"/>
  <c r="M27" s="1"/>
  <c r="N15"/>
  <c r="M22" i="4" s="1"/>
  <c r="P15" i="3"/>
  <c r="P13" s="1"/>
  <c r="P23" s="1"/>
  <c r="P27" s="1"/>
  <c r="Q15"/>
  <c r="P22" i="4" s="1"/>
  <c r="R15" i="3"/>
  <c r="Q22" i="4" s="1"/>
  <c r="I18" i="3"/>
  <c r="J18" s="1"/>
  <c r="K18" s="1"/>
  <c r="L18" s="1"/>
  <c r="M18" s="1"/>
  <c r="N18" s="1"/>
  <c r="O18" s="1"/>
  <c r="N19"/>
  <c r="O19" s="1"/>
  <c r="P19" s="1"/>
  <c r="R19" s="1"/>
  <c r="D23"/>
  <c r="D27" s="1"/>
  <c r="F23"/>
  <c r="F27" s="1"/>
  <c r="K23"/>
  <c r="K27" s="1"/>
  <c r="O23"/>
  <c r="O27" s="1"/>
  <c r="D28"/>
  <c r="C18" i="4" s="1"/>
  <c r="E28" i="3"/>
  <c r="D18" i="4" s="1"/>
  <c r="F28" i="3"/>
  <c r="E18" i="4" s="1"/>
  <c r="H28" i="3"/>
  <c r="O29"/>
  <c r="N52" i="4" s="1"/>
  <c r="L36" i="3"/>
  <c r="K26" i="4" s="1"/>
  <c r="O36" i="3"/>
  <c r="N26" i="4" s="1"/>
  <c r="P36" i="3"/>
  <c r="O26" i="4" s="1"/>
  <c r="D61" i="3"/>
  <c r="D66" s="1"/>
  <c r="E61"/>
  <c r="E66" s="1"/>
  <c r="F61"/>
  <c r="F66" s="1"/>
  <c r="G61"/>
  <c r="R61"/>
  <c r="D65"/>
  <c r="F65"/>
  <c r="D68"/>
  <c r="F68"/>
  <c r="E71"/>
  <c r="D83"/>
  <c r="E83"/>
  <c r="F83"/>
  <c r="G83"/>
  <c r="H83"/>
  <c r="I83"/>
  <c r="J83"/>
  <c r="K83"/>
  <c r="L83"/>
  <c r="M83"/>
  <c r="N83"/>
  <c r="O83"/>
  <c r="P83"/>
  <c r="Q83"/>
  <c r="R83"/>
  <c r="D84"/>
  <c r="E84"/>
  <c r="F84"/>
  <c r="G84"/>
  <c r="H84"/>
  <c r="P17" i="5"/>
  <c r="O18"/>
  <c r="J19"/>
  <c r="J18" s="1"/>
  <c r="M19"/>
  <c r="N19"/>
  <c r="I19"/>
  <c r="Q23"/>
  <c r="J24"/>
  <c r="N24"/>
  <c r="N18"/>
  <c r="O28"/>
  <c r="J29"/>
  <c r="M29"/>
  <c r="M28" s="1"/>
  <c r="N29"/>
  <c r="I29"/>
  <c r="R29"/>
  <c r="J32"/>
  <c r="M32"/>
  <c r="N32"/>
  <c r="N28" s="1"/>
  <c r="N17" s="1"/>
  <c r="I32"/>
  <c r="R32"/>
  <c r="J35"/>
  <c r="M35"/>
  <c r="N35"/>
  <c r="R35"/>
  <c r="I35"/>
  <c r="J39"/>
  <c r="M39"/>
  <c r="N39"/>
  <c r="I39"/>
  <c r="J43"/>
  <c r="M43"/>
  <c r="M42" s="1"/>
  <c r="N43"/>
  <c r="N42"/>
  <c r="O43"/>
  <c r="O42" s="1"/>
  <c r="P43"/>
  <c r="I47"/>
  <c r="I49"/>
  <c r="I50"/>
  <c r="J53"/>
  <c r="M53"/>
  <c r="N53"/>
  <c r="N52" s="1"/>
  <c r="N51" s="1"/>
  <c r="I55"/>
  <c r="I53"/>
  <c r="I51" s="1"/>
  <c r="I57"/>
  <c r="I58"/>
  <c r="J58"/>
  <c r="M58"/>
  <c r="N58"/>
  <c r="O58"/>
  <c r="O52" s="1"/>
  <c r="P58"/>
  <c r="J60"/>
  <c r="J52" s="1"/>
  <c r="M60"/>
  <c r="N60"/>
  <c r="O60"/>
  <c r="P60"/>
  <c r="P52" s="1"/>
  <c r="P15" s="1"/>
  <c r="P14" s="1"/>
  <c r="J63"/>
  <c r="M63"/>
  <c r="M62" s="1"/>
  <c r="M12"/>
  <c r="N63"/>
  <c r="N62" s="1"/>
  <c r="O63"/>
  <c r="O12"/>
  <c r="K22" i="3" s="1"/>
  <c r="I64" i="5"/>
  <c r="I65"/>
  <c r="I66"/>
  <c r="I67"/>
  <c r="I68"/>
  <c r="I69"/>
  <c r="I70"/>
  <c r="I71"/>
  <c r="I72"/>
  <c r="I22" i="3"/>
  <c r="D10" i="1"/>
  <c r="D11"/>
  <c r="D12" s="1"/>
  <c r="M18" i="5"/>
  <c r="M17" s="1"/>
  <c r="L13" i="3"/>
  <c r="L23" s="1"/>
  <c r="L27" s="1"/>
  <c r="E7" i="2"/>
  <c r="H38" i="1"/>
  <c r="Q13" i="3"/>
  <c r="Q23" s="1"/>
  <c r="Q27" s="1"/>
  <c r="H34" i="1"/>
  <c r="O62" i="5"/>
  <c r="R13" i="3"/>
  <c r="R23" s="1"/>
  <c r="R27" s="1"/>
  <c r="H23" l="1"/>
  <c r="R84"/>
  <c r="Q14" i="4"/>
  <c r="I46" i="5"/>
  <c r="G71" i="3"/>
  <c r="O84"/>
  <c r="N14" i="4"/>
  <c r="F35" i="3"/>
  <c r="F60" s="1"/>
  <c r="O22" i="4"/>
  <c r="O20" s="1"/>
  <c r="Q52"/>
  <c r="J20"/>
  <c r="E24"/>
  <c r="F70" i="3" s="1"/>
  <c r="F72" s="1"/>
  <c r="F15" i="4"/>
  <c r="G67" i="3"/>
  <c r="Q42" i="4"/>
  <c r="M42"/>
  <c r="I42"/>
  <c r="N42"/>
  <c r="J42"/>
  <c r="O42"/>
  <c r="K42"/>
  <c r="P42"/>
  <c r="L42"/>
  <c r="P20"/>
  <c r="Q20"/>
  <c r="M20"/>
  <c r="H67" i="3"/>
  <c r="G20" i="4"/>
  <c r="D35" i="3"/>
  <c r="D60" s="1"/>
  <c r="G24" i="4"/>
  <c r="H70" i="3" s="1"/>
  <c r="H72" s="1"/>
  <c r="L22" i="4"/>
  <c r="L20" s="1"/>
  <c r="E35" i="3"/>
  <c r="E60" s="1"/>
  <c r="E10" i="2"/>
  <c r="C11"/>
  <c r="C24" i="4"/>
  <c r="D70" i="3" s="1"/>
  <c r="D72" s="1"/>
  <c r="C20" i="4"/>
  <c r="H68" i="3"/>
  <c r="G18" i="4"/>
  <c r="D19"/>
  <c r="N13" i="3"/>
  <c r="N23" s="1"/>
  <c r="N27" s="1"/>
  <c r="Q19"/>
  <c r="H71"/>
  <c r="D71"/>
  <c r="I67"/>
  <c r="D24" i="4"/>
  <c r="E70" i="3" s="1"/>
  <c r="E72" s="1"/>
  <c r="D20" i="4"/>
  <c r="G23" i="3"/>
  <c r="G27" s="1"/>
  <c r="G65"/>
  <c r="G66"/>
  <c r="I20" i="4"/>
  <c r="E20"/>
  <c r="E27" s="1"/>
  <c r="H69" i="3"/>
  <c r="N20" i="4"/>
  <c r="H20"/>
  <c r="G35" i="3"/>
  <c r="F24" i="4"/>
  <c r="G70" i="3" s="1"/>
  <c r="G72" s="1"/>
  <c r="F19" i="4"/>
  <c r="G15"/>
  <c r="G17" s="1"/>
  <c r="F16"/>
  <c r="F17" s="1"/>
  <c r="H15"/>
  <c r="G68" i="3"/>
  <c r="G69" s="1"/>
  <c r="F20" i="4"/>
  <c r="Q43" i="5"/>
  <c r="Q24"/>
  <c r="Q18"/>
  <c r="I18"/>
  <c r="K28"/>
  <c r="K17" s="1"/>
  <c r="K15" s="1"/>
  <c r="K14" s="1"/>
  <c r="K13" s="1"/>
  <c r="K11" s="1"/>
  <c r="L28"/>
  <c r="L17" s="1"/>
  <c r="I28"/>
  <c r="I42"/>
  <c r="R39"/>
  <c r="R28" s="1"/>
  <c r="M16"/>
  <c r="J51"/>
  <c r="O17"/>
  <c r="H22" i="3"/>
  <c r="N15" i="5"/>
  <c r="N14" s="1"/>
  <c r="N16"/>
  <c r="M52"/>
  <c r="M51" s="1"/>
  <c r="I63"/>
  <c r="N12"/>
  <c r="J22" i="3" s="1"/>
  <c r="J62" i="5"/>
  <c r="J28"/>
  <c r="J42"/>
  <c r="Q42" s="1"/>
  <c r="P52" i="4"/>
  <c r="P14"/>
  <c r="Q84" i="3"/>
  <c r="O14" i="4"/>
  <c r="P84" i="3"/>
  <c r="O52" i="4"/>
  <c r="N13" i="5"/>
  <c r="F12" i="1"/>
  <c r="J29" i="3" s="1"/>
  <c r="I52" i="4" s="1"/>
  <c r="D13" i="1"/>
  <c r="P18" i="3"/>
  <c r="R18" s="1"/>
  <c r="Q18"/>
  <c r="F8" i="1"/>
  <c r="K20" i="4"/>
  <c r="H61" i="3"/>
  <c r="H66" s="1"/>
  <c r="G19" i="4"/>
  <c r="D27"/>
  <c r="E4" i="1"/>
  <c r="G4" s="1"/>
  <c r="C5"/>
  <c r="C27" i="4"/>
  <c r="E65" i="3"/>
  <c r="E56" i="4"/>
  <c r="E68" i="3"/>
  <c r="H65"/>
  <c r="F18" i="4"/>
  <c r="G27" l="1"/>
  <c r="I17" i="5"/>
  <c r="I15" s="1"/>
  <c r="I14" s="1"/>
  <c r="F27" i="4"/>
  <c r="E11" i="2"/>
  <c r="C12"/>
  <c r="I16" i="5"/>
  <c r="Q17"/>
  <c r="L16"/>
  <c r="Q16" s="1"/>
  <c r="L15"/>
  <c r="L14" s="1"/>
  <c r="L13" s="1"/>
  <c r="L11" s="1"/>
  <c r="K16"/>
  <c r="I62"/>
  <c r="O16"/>
  <c r="O15"/>
  <c r="O14" s="1"/>
  <c r="O13" s="1"/>
  <c r="M15"/>
  <c r="M14" s="1"/>
  <c r="M13" s="1"/>
  <c r="D14" i="1"/>
  <c r="D15" s="1"/>
  <c r="D16" s="1"/>
  <c r="D17" s="1"/>
  <c r="F16"/>
  <c r="K29" i="3" s="1"/>
  <c r="N11" i="5"/>
  <c r="J37" i="3"/>
  <c r="J36" s="1"/>
  <c r="I26" i="4" s="1"/>
  <c r="I29" i="3"/>
  <c r="I14" i="4"/>
  <c r="J84" i="3"/>
  <c r="C6" i="1"/>
  <c r="Q13" i="5" l="1"/>
  <c r="C13" i="2"/>
  <c r="E12"/>
  <c r="I13" i="5"/>
  <c r="I11" s="1"/>
  <c r="Q14"/>
  <c r="Q15"/>
  <c r="O11"/>
  <c r="K37" i="3"/>
  <c r="K36" s="1"/>
  <c r="J26" i="4" s="1"/>
  <c r="I37" i="3"/>
  <c r="I36" s="1"/>
  <c r="H26" i="4" s="1"/>
  <c r="M11" i="5"/>
  <c r="Q11" s="1"/>
  <c r="J15"/>
  <c r="J16"/>
  <c r="D18" i="1"/>
  <c r="D19" s="1"/>
  <c r="D20" s="1"/>
  <c r="D21" s="1"/>
  <c r="K84" i="3"/>
  <c r="J52" i="4"/>
  <c r="J14"/>
  <c r="H52"/>
  <c r="H14"/>
  <c r="H10"/>
  <c r="I84" i="3"/>
  <c r="E6" i="1"/>
  <c r="C7"/>
  <c r="C14" i="2" l="1"/>
  <c r="E13"/>
  <c r="G13" s="1"/>
  <c r="J14" i="5"/>
  <c r="F20" i="1"/>
  <c r="D22"/>
  <c r="D23" s="1"/>
  <c r="D24" s="1"/>
  <c r="D25" s="1"/>
  <c r="F24"/>
  <c r="M29" i="3" s="1"/>
  <c r="I61"/>
  <c r="I66" s="1"/>
  <c r="H19" i="4"/>
  <c r="I10"/>
  <c r="C8" i="1"/>
  <c r="E7"/>
  <c r="E14" i="2" l="1"/>
  <c r="C15"/>
  <c r="J13" i="5"/>
  <c r="L29" i="3"/>
  <c r="I19" i="4"/>
  <c r="J10"/>
  <c r="J61" i="3"/>
  <c r="J66" s="1"/>
  <c r="F28" i="1"/>
  <c r="N29" i="3" s="1"/>
  <c r="H26" i="1"/>
  <c r="H46" s="1"/>
  <c r="D26"/>
  <c r="D27" s="1"/>
  <c r="D28" s="1"/>
  <c r="M84" i="3"/>
  <c r="L52" i="4"/>
  <c r="L14"/>
  <c r="E8" i="1"/>
  <c r="C9"/>
  <c r="E15" i="2" l="1"/>
  <c r="C16"/>
  <c r="J11" i="5"/>
  <c r="K14" i="4"/>
  <c r="K52"/>
  <c r="L84" i="3"/>
  <c r="N84"/>
  <c r="M14" i="4"/>
  <c r="M52"/>
  <c r="F45" i="1"/>
  <c r="F46" s="1"/>
  <c r="K10" i="4"/>
  <c r="K61" i="3"/>
  <c r="C10" i="1"/>
  <c r="E9"/>
  <c r="H25" i="4"/>
  <c r="H16"/>
  <c r="H17" s="1"/>
  <c r="I28" i="3"/>
  <c r="I35" s="1"/>
  <c r="I60" s="1"/>
  <c r="C17" i="2" l="1"/>
  <c r="E16"/>
  <c r="L10" i="4"/>
  <c r="L61" i="3"/>
  <c r="I68"/>
  <c r="I69" s="1"/>
  <c r="I65"/>
  <c r="H18" i="4"/>
  <c r="H24"/>
  <c r="I71" i="3"/>
  <c r="J67"/>
  <c r="H56" i="4"/>
  <c r="I15"/>
  <c r="E10" i="1"/>
  <c r="C11"/>
  <c r="C18" i="2" l="1"/>
  <c r="E17"/>
  <c r="G17" s="1"/>
  <c r="M61" i="3"/>
  <c r="M10" i="4"/>
  <c r="C12" i="1"/>
  <c r="E11"/>
  <c r="I70" i="3"/>
  <c r="I72" s="1"/>
  <c r="H27" i="4"/>
  <c r="E18" i="2" l="1"/>
  <c r="C19"/>
  <c r="N61" i="3"/>
  <c r="N10" i="4"/>
  <c r="E12" i="1"/>
  <c r="J33" i="3" s="1"/>
  <c r="C13" i="1"/>
  <c r="C20" i="2" l="1"/>
  <c r="E19"/>
  <c r="O10" i="4"/>
  <c r="O61" i="3"/>
  <c r="J28"/>
  <c r="I25" i="4"/>
  <c r="I16"/>
  <c r="I17" s="1"/>
  <c r="E13" i="1"/>
  <c r="C14"/>
  <c r="C21" i="2" l="1"/>
  <c r="E20"/>
  <c r="P61" i="3"/>
  <c r="P10" i="4"/>
  <c r="Q61" i="3" s="1"/>
  <c r="E14" i="1"/>
  <c r="C15"/>
  <c r="I18" i="4"/>
  <c r="J35" i="3"/>
  <c r="J60" s="1"/>
  <c r="J68"/>
  <c r="J69" s="1"/>
  <c r="J65"/>
  <c r="I56" i="4"/>
  <c r="I24"/>
  <c r="J71" i="3"/>
  <c r="J15" i="4"/>
  <c r="K67" i="3"/>
  <c r="C22" i="2" l="1"/>
  <c r="E21"/>
  <c r="G21" s="1"/>
  <c r="J70" i="3"/>
  <c r="J72" s="1"/>
  <c r="I27" i="4"/>
  <c r="C16" i="1"/>
  <c r="E15"/>
  <c r="C23" i="2" l="1"/>
  <c r="E22"/>
  <c r="E16" i="1"/>
  <c r="K33" i="3" s="1"/>
  <c r="C17" i="1"/>
  <c r="E23" i="2" l="1"/>
  <c r="C24"/>
  <c r="J16" i="4"/>
  <c r="J17" s="1"/>
  <c r="K28" i="3"/>
  <c r="J25" i="4"/>
  <c r="C18" i="1"/>
  <c r="E17"/>
  <c r="E24" i="2" l="1"/>
  <c r="C25"/>
  <c r="K35" i="3"/>
  <c r="K60" s="1"/>
  <c r="K68"/>
  <c r="K69" s="1"/>
  <c r="E18" i="1"/>
  <c r="C19"/>
  <c r="J56" i="4"/>
  <c r="J24"/>
  <c r="K71" i="3"/>
  <c r="L67"/>
  <c r="K15" i="4"/>
  <c r="E25" i="2" l="1"/>
  <c r="G25" s="1"/>
  <c r="C26"/>
  <c r="K70" i="3"/>
  <c r="K72" s="1"/>
  <c r="J27" i="4"/>
  <c r="E19" i="1"/>
  <c r="C20"/>
  <c r="C27" i="2" l="1"/>
  <c r="E26"/>
  <c r="E20" i="1"/>
  <c r="L33" i="3" s="1"/>
  <c r="C21" i="1"/>
  <c r="C28" i="2" l="1"/>
  <c r="E27"/>
  <c r="E21" i="1"/>
  <c r="C22"/>
  <c r="L28" i="3"/>
  <c r="K25" i="4"/>
  <c r="K16"/>
  <c r="K17" s="1"/>
  <c r="C29" i="2" l="1"/>
  <c r="E28"/>
  <c r="L68" i="3"/>
  <c r="L69" s="1"/>
  <c r="L35"/>
  <c r="L60" s="1"/>
  <c r="E22" i="1"/>
  <c r="C23"/>
  <c r="L71" i="3"/>
  <c r="K56" i="4"/>
  <c r="K24"/>
  <c r="M67" i="3"/>
  <c r="L15" i="4"/>
  <c r="C30" i="2" l="1"/>
  <c r="E29"/>
  <c r="G29" s="1"/>
  <c r="L70" i="3"/>
  <c r="L72" s="1"/>
  <c r="K27" i="4"/>
  <c r="C24" i="1"/>
  <c r="E23"/>
  <c r="E30" i="2" l="1"/>
  <c r="C31"/>
  <c r="C25" i="1"/>
  <c r="E24"/>
  <c r="M33" i="3" s="1"/>
  <c r="E31" i="2" l="1"/>
  <c r="C32"/>
  <c r="L16" i="4"/>
  <c r="L17" s="1"/>
  <c r="M28" i="3"/>
  <c r="L25" i="4"/>
  <c r="C26" i="1"/>
  <c r="E25"/>
  <c r="C33" i="2" l="1"/>
  <c r="E32"/>
  <c r="M68" i="3"/>
  <c r="M69" s="1"/>
  <c r="M35"/>
  <c r="M60" s="1"/>
  <c r="L56" i="4"/>
  <c r="L24"/>
  <c r="M71" i="3"/>
  <c r="N67"/>
  <c r="M15" i="4"/>
  <c r="C27" i="1"/>
  <c r="E26"/>
  <c r="C34" i="2" l="1"/>
  <c r="E33"/>
  <c r="G33" s="1"/>
  <c r="M70" i="3"/>
  <c r="M72" s="1"/>
  <c r="L27" i="4"/>
  <c r="E27" i="1"/>
  <c r="C28"/>
  <c r="C35" i="2" l="1"/>
  <c r="E34"/>
  <c r="C29" i="1"/>
  <c r="E28"/>
  <c r="N33" i="3" s="1"/>
  <c r="E35" i="2" l="1"/>
  <c r="C36"/>
  <c r="E29" i="1"/>
  <c r="H29"/>
  <c r="C30"/>
  <c r="M16" i="4"/>
  <c r="M17" s="1"/>
  <c r="N28" i="3"/>
  <c r="M25" i="4"/>
  <c r="E36" i="2" l="1"/>
  <c r="C37"/>
  <c r="M56" i="4"/>
  <c r="M24"/>
  <c r="N71" i="3"/>
  <c r="N15" i="4"/>
  <c r="O67" i="3"/>
  <c r="N35"/>
  <c r="N60" s="1"/>
  <c r="N68"/>
  <c r="N69" s="1"/>
  <c r="E30" i="1"/>
  <c r="C31"/>
  <c r="C38" i="2" l="1"/>
  <c r="E37"/>
  <c r="G37" s="1"/>
  <c r="M27" i="4"/>
  <c r="N70" i="3"/>
  <c r="N72" s="1"/>
  <c r="C32" i="1"/>
  <c r="E31"/>
  <c r="C39" i="2" l="1"/>
  <c r="E38"/>
  <c r="C33" i="1"/>
  <c r="E32"/>
  <c r="O33" i="3" s="1"/>
  <c r="E39" i="2" l="1"/>
  <c r="C40"/>
  <c r="N16" i="4"/>
  <c r="N17" s="1"/>
  <c r="O28" i="3"/>
  <c r="N25" i="4"/>
  <c r="E33" i="1"/>
  <c r="C34"/>
  <c r="C41" i="2" l="1"/>
  <c r="E40"/>
  <c r="O68" i="3"/>
  <c r="O69" s="1"/>
  <c r="O35"/>
  <c r="O60" s="1"/>
  <c r="E34" i="1"/>
  <c r="C35"/>
  <c r="N56" i="4"/>
  <c r="N24"/>
  <c r="O71" i="3"/>
  <c r="P67"/>
  <c r="O15" i="4"/>
  <c r="E41" i="2" l="1"/>
  <c r="G41" s="1"/>
  <c r="C42"/>
  <c r="O70" i="3"/>
  <c r="O72" s="1"/>
  <c r="N27" i="4"/>
  <c r="E35" i="1"/>
  <c r="C36"/>
  <c r="C43" i="2" l="1"/>
  <c r="E42"/>
  <c r="E36" i="1"/>
  <c r="P33" i="3" s="1"/>
  <c r="C37" i="1"/>
  <c r="E43" i="2" l="1"/>
  <c r="C44"/>
  <c r="O16" i="4"/>
  <c r="O17" s="1"/>
  <c r="P28" i="3"/>
  <c r="O25" i="4"/>
  <c r="E37" i="1"/>
  <c r="C38"/>
  <c r="E44" i="2" l="1"/>
  <c r="C45"/>
  <c r="E45" s="1"/>
  <c r="E38" i="1"/>
  <c r="C39"/>
  <c r="P68" i="3"/>
  <c r="P69" s="1"/>
  <c r="P35"/>
  <c r="P60" s="1"/>
  <c r="O56" i="4"/>
  <c r="O24"/>
  <c r="P71" i="3"/>
  <c r="P15" i="4"/>
  <c r="Q67" i="3"/>
  <c r="G45" i="2" l="1"/>
  <c r="P70" i="3"/>
  <c r="P72" s="1"/>
  <c r="O27" i="4"/>
  <c r="C40" i="1"/>
  <c r="E39"/>
  <c r="E40" l="1"/>
  <c r="R33" i="3" s="1"/>
  <c r="C41" i="1"/>
  <c r="Q25" i="4" l="1"/>
  <c r="Q16"/>
  <c r="R28" i="3"/>
  <c r="E41" i="1"/>
  <c r="C42"/>
  <c r="R71" i="3" l="1"/>
  <c r="Q56" i="4"/>
  <c r="Q24"/>
  <c r="E42" i="1"/>
  <c r="C43"/>
  <c r="R68" i="3"/>
  <c r="R35"/>
  <c r="R60" s="1"/>
  <c r="C44" i="1" l="1"/>
  <c r="E44" s="1"/>
  <c r="E43"/>
  <c r="Q27" i="4"/>
  <c r="R70" i="3"/>
  <c r="R72" s="1"/>
  <c r="Q33" l="1"/>
  <c r="P25" i="4" s="1"/>
  <c r="P16" l="1"/>
  <c r="P17" s="1"/>
  <c r="Q28" i="3"/>
  <c r="Q35" s="1"/>
  <c r="Q60" s="1"/>
  <c r="Q71"/>
  <c r="P56" i="4"/>
  <c r="P24"/>
  <c r="R67" i="3"/>
  <c r="R69" s="1"/>
  <c r="Q15" i="4"/>
  <c r="Q17" s="1"/>
  <c r="Q68" i="3" l="1"/>
  <c r="Q69" s="1"/>
  <c r="Q70"/>
  <c r="Q72" s="1"/>
  <c r="P27" i="4"/>
</calcChain>
</file>

<file path=xl/comments1.xml><?xml version="1.0" encoding="utf-8"?>
<comments xmlns="http://schemas.openxmlformats.org/spreadsheetml/2006/main">
  <authors>
    <author>UG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<sst xmlns="http://schemas.openxmlformats.org/spreadsheetml/2006/main" count="487" uniqueCount="253">
  <si>
    <t>SYMULACJA
spłaty oraz  kosztów kredytu planowanego na 2011 rok</t>
  </si>
  <si>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</si>
  <si>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</si>
  <si>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</si>
  <si>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</si>
  <si>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</si>
  <si>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</si>
  <si>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</si>
  <si>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</si>
  <si>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</si>
  <si>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</si>
  <si>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</si>
  <si>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</si>
  <si>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</si>
  <si>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</si>
  <si>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</si>
  <si>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</si>
  <si>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</si>
  <si>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</si>
  <si>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</si>
  <si>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</si>
  <si>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</si>
  <si>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</si>
  <si>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</si>
  <si>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</si>
  <si>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</si>
  <si>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</si>
  <si>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</si>
  <si>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</si>
  <si>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</si>
  <si>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</si>
  <si>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</si>
  <si>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</si>
  <si>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</si>
  <si>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</si>
  <si>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</si>
  <si>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</si>
  <si>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</si>
  <si>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</si>
  <si>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</si>
  <si>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</si>
  <si>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</si>
  <si>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</si>
  <si>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</si>
  <si>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</si>
  <si>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</si>
  <si>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</si>
  <si>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</si>
  <si>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</si>
  <si>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SYMULACJA
spłaty oraz  kosztów kredytu planowanego na 2012 rok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</si>
  <si>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</si>
  <si>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</si>
  <si>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</si>
  <si>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</si>
  <si>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</si>
  <si>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</si>
  <si>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</si>
  <si>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</si>
  <si>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</si>
  <si>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</si>
  <si>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</si>
  <si>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</si>
  <si>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</si>
  <si>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</si>
  <si>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</si>
  <si>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</si>
  <si>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</si>
  <si>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</si>
  <si>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</si>
  <si>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</si>
  <si>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</si>
  <si>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</si>
  <si>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</si>
  <si>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</si>
  <si>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</si>
  <si>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</si>
  <si>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</si>
  <si>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</si>
  <si>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</si>
  <si>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</si>
  <si>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</si>
  <si>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</si>
  <si>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</si>
  <si>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</si>
  <si>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</si>
  <si>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</si>
  <si>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</si>
  <si>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</si>
  <si>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</si>
  <si>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</si>
  <si>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</si>
  <si>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</si>
  <si>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</si>
  <si>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</si>
  <si>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</si>
  <si>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</si>
  <si>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</si>
  <si>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</si>
  <si>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</si>
  <si>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</si>
  <si>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</si>
  <si>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</si>
  <si>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</si>
  <si>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</si>
  <si>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</si>
  <si>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</si>
  <si>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</si>
  <si>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</si>
  <si>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łączna kwota wyłączeń z art. 243 ust.3 pkt 1 Ustawy o finansach publicznych z dnia 27 sierpnia 2009r. oraz z art. 170 ust. 3 Ustawy o finansach publicznych  z dnia 30 czerwca 2005r. Przypadająca na dany rok budżetowy</t>
  </si>
  <si>
    <t>Kwota zobowiązań związku współtworzonego przez jst przypadająca do spłaty w danym roku budżetowym podlegająca doliczeniu zgodnie z art.. 244 Ustawy o finansach publicznych</t>
  </si>
  <si>
    <t>Relacja z art.169 ustawy o finansach publicznych z dnia 30 czerwca 2005r.                          (max 15% )  7/1</t>
  </si>
  <si>
    <t>Relacja z art.170 ustawy o finansach publicznych z dnia 30 czerwca 2005r.                       (max 60% ) 13/1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</si>
  <si>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</si>
  <si>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</si>
  <si>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</si>
  <si>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</si>
  <si>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</si>
  <si>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</si>
  <si>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</si>
  <si>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</si>
  <si>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</si>
  <si>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</si>
  <si>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</si>
  <si>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</si>
  <si>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</si>
  <si>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</si>
  <si>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</si>
  <si>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</si>
  <si>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</si>
  <si>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</si>
  <si>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</si>
  <si>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</si>
  <si>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</si>
  <si>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</si>
  <si>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</si>
  <si>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</si>
  <si>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</si>
  <si>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</si>
  <si>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</si>
  <si>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</si>
  <si>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</si>
  <si>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</si>
  <si>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</si>
  <si>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</si>
  <si>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</si>
  <si>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</si>
  <si>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</si>
  <si>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</si>
  <si>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</si>
  <si>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</si>
  <si>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</si>
  <si>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</si>
  <si>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</si>
  <si>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</si>
  <si>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</si>
  <si>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</si>
  <si>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okres realizacji       ( w wierszu program/umowa)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</si>
  <si>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</si>
  <si>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</si>
  <si>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</si>
  <si>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</si>
  <si>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</si>
  <si>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</si>
  <si>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</si>
  <si>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</si>
  <si>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</si>
  <si>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</si>
  <si>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</si>
  <si>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</si>
  <si>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</si>
  <si>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Programy projekty lub zadania ( razem)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</si>
  <si>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</si>
  <si>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</si>
  <si>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</si>
  <si>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</si>
  <si>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</si>
  <si>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Razem 010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</si>
  <si>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</si>
  <si>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</si>
  <si>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</si>
  <si>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</si>
  <si>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</si>
  <si>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</si>
  <si>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</si>
  <si>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</si>
  <si>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</si>
  <si>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</si>
  <si>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Razem 921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</si>
  <si>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</si>
  <si>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</si>
  <si>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</si>
  <si>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</si>
  <si>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</si>
  <si>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</si>
  <si>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</si>
  <si>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</si>
  <si>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</si>
  <si>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</si>
  <si>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</si>
  <si>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</si>
  <si>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 xml:space="preserve">Mysiadło - Projekt i budowa ""Centrum Edukacji i Sportu" 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</si>
  <si>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</si>
  <si>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</si>
  <si>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</si>
  <si>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</si>
  <si>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</si>
  <si>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</si>
  <si>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</si>
  <si>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Lesznowola - Projekt i budowa  ul. Okrężnej oraz projekty branżowe wraz z wytyczeniem geodezyjnym - I etap</t>
  </si>
  <si>
    <t>60016</t>
  </si>
  <si>
    <t>2.1.2</t>
  </si>
  <si>
    <t>Warszawianka  - Budowa ciągu pieszo-jezdnego od ul. Rejonowej (vis a vis ul. Brzozowej)</t>
  </si>
  <si>
    <t>2.1.3</t>
  </si>
  <si>
    <t>Mysiadło i Nowa Iwiczna - Budowa odwodnienia</t>
  </si>
  <si>
    <t>2.1.4</t>
  </si>
  <si>
    <t xml:space="preserve">Nowa Wola - Budowa ul. Plonowej I etap </t>
  </si>
  <si>
    <t>2.2</t>
  </si>
  <si>
    <t>2.2.1</t>
  </si>
  <si>
    <t xml:space="preserve">Wólka Kosowska - Projekt i budowa budynków socjalnych wraz z urządzeniem terenów rekreacyjno-sportowych </t>
  </si>
  <si>
    <t>2.3</t>
  </si>
  <si>
    <t>2.3.1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</si>
  <si>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</si>
  <si>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</si>
  <si>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</si>
  <si>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</si>
  <si>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 xml:space="preserve">Wykonanie rocznych i pięcioletnich przeglądów technicznych obiektów budowlanych </t>
  </si>
  <si>
    <t xml:space="preserve">Wykonanie przeglądów serwisowych przepompowni wód deszczowych zamontowanych na terenie Gminy Lesznowola </t>
  </si>
  <si>
    <t>Prowadzenie obsługi prawnej Urzędu Gminy</t>
  </si>
  <si>
    <t>UG - ZP</t>
  </si>
  <si>
    <t xml:space="preserve">Konserwacja dźwigu osobowego </t>
  </si>
  <si>
    <t xml:space="preserve">Asysta techniczna przy eksploatacji Komputerowego Systemu Rejestracji Stanu Cywilnego </t>
  </si>
  <si>
    <t>Dzierżawa gruntu o pow. 0,3000 ha położonej w pasie drogi publicznej gminnej ul. Torowej w Nowej Iwicznej - parking dla pojazdów</t>
  </si>
  <si>
    <t>UG - RGG</t>
  </si>
  <si>
    <t xml:space="preserve">Dzierżawa gruntu o pow. 1.000 m2 pod plac zabaw w Marysinie </t>
  </si>
  <si>
    <t xml:space="preserve">Dzierżawa niezabudowanej nieruchomości (skład masy upadłości ""Tomasz Maj Gospodarstwo Ogrodnicze EKO Mysiadło"") położonej w obrębie KPGO Mysiadło </t>
  </si>
  <si>
    <t>Plan przed zmianami</t>
  </si>
  <si>
    <t>Zmiany Uchwałą Rady Gminy</t>
  </si>
  <si>
    <t>Plan po zmianach</t>
  </si>
  <si>
    <t xml:space="preserve">Do Uchwały Nr </t>
  </si>
  <si>
    <t xml:space="preserve">z dnia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</si>
  <si>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</si>
  <si>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</si>
  <si>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</si>
  <si>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</si>
  <si>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</si>
  <si>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</si>
  <si>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</si>
  <si>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</si>
  <si>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</si>
  <si>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</si>
  <si>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</si>
  <si>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</si>
  <si>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WYKAZ PRZEDSIĘWZIĘĆ GMINY LESZNOWOLA  NA LATA 2011 -2014 - po zmianach</t>
  </si>
</sst>
</file>

<file path=xl/styles.xml><?xml version="1.0" encoding="utf-8"?>
<styleSheet xmlns="http://schemas.openxmlformats.org/spreadsheetml/2006/main">
  <numFmts count="3">
    <numFmt numFmtId="164" formatCode="d\ mmm\ yy"/>
    <numFmt numFmtId="165" formatCode="#,##0.0000"/>
    <numFmt numFmtId="166" formatCode="d/mm/yyyy"/>
  </numFmts>
  <fonts count="47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u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2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rgb="FFFFFF99"/>
        <bgColor indexed="26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23" borderId="9" applyNumberFormat="0" applyAlignment="0" applyProtection="0"/>
    <xf numFmtId="0" fontId="17" fillId="3" borderId="0" applyNumberFormat="0" applyBorder="0" applyAlignment="0" applyProtection="0"/>
  </cellStyleXfs>
  <cellXfs count="508">
    <xf numFmtId="0" fontId="0" fillId="0" borderId="0" xfId="0"/>
    <xf numFmtId="1" fontId="0" fillId="0" borderId="0" xfId="0" applyNumberFormat="1"/>
    <xf numFmtId="0" fontId="18" fillId="0" borderId="0" xfId="0" applyFont="1"/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/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/>
    <xf numFmtId="164" fontId="21" fillId="0" borderId="16" xfId="0" applyNumberFormat="1" applyFont="1" applyBorder="1"/>
    <xf numFmtId="1" fontId="21" fillId="0" borderId="17" xfId="0" applyNumberFormat="1" applyFont="1" applyBorder="1" applyAlignment="1">
      <alignment horizontal="center"/>
    </xf>
    <xf numFmtId="3" fontId="18" fillId="0" borderId="17" xfId="0" applyNumberFormat="1" applyFont="1" applyBorder="1"/>
    <xf numFmtId="164" fontId="21" fillId="0" borderId="18" xfId="0" applyNumberFormat="1" applyFont="1" applyBorder="1"/>
    <xf numFmtId="1" fontId="21" fillId="0" borderId="19" xfId="0" applyNumberFormat="1" applyFont="1" applyBorder="1" applyAlignment="1">
      <alignment horizontal="center"/>
    </xf>
    <xf numFmtId="3" fontId="18" fillId="0" borderId="20" xfId="0" applyNumberFormat="1" applyFont="1" applyBorder="1"/>
    <xf numFmtId="1" fontId="21" fillId="0" borderId="15" xfId="0" applyNumberFormat="1" applyFont="1" applyBorder="1" applyAlignment="1">
      <alignment horizontal="center"/>
    </xf>
    <xf numFmtId="3" fontId="0" fillId="0" borderId="0" xfId="0" applyNumberFormat="1"/>
    <xf numFmtId="1" fontId="21" fillId="0" borderId="21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3" fontId="18" fillId="0" borderId="21" xfId="0" applyNumberFormat="1" applyFont="1" applyBorder="1"/>
    <xf numFmtId="3" fontId="18" fillId="0" borderId="15" xfId="0" applyNumberFormat="1" applyFont="1" applyBorder="1"/>
    <xf numFmtId="164" fontId="21" fillId="22" borderId="13" xfId="0" applyNumberFormat="1" applyFont="1" applyFill="1" applyBorder="1"/>
    <xf numFmtId="1" fontId="21" fillId="22" borderId="14" xfId="0" applyNumberFormat="1" applyFont="1" applyFill="1" applyBorder="1" applyAlignment="1">
      <alignment horizontal="center"/>
    </xf>
    <xf numFmtId="3" fontId="18" fillId="22" borderId="14" xfId="0" applyNumberFormat="1" applyFont="1" applyFill="1" applyBorder="1"/>
    <xf numFmtId="0" fontId="0" fillId="22" borderId="0" xfId="0" applyNumberFormat="1" applyFill="1"/>
    <xf numFmtId="0" fontId="0" fillId="22" borderId="0" xfId="0" applyFill="1"/>
    <xf numFmtId="164" fontId="21" fillId="22" borderId="16" xfId="0" applyNumberFormat="1" applyFont="1" applyFill="1" applyBorder="1"/>
    <xf numFmtId="1" fontId="21" fillId="22" borderId="21" xfId="0" applyNumberFormat="1" applyFont="1" applyFill="1" applyBorder="1" applyAlignment="1">
      <alignment horizontal="center"/>
    </xf>
    <xf numFmtId="3" fontId="18" fillId="22" borderId="21" xfId="0" applyNumberFormat="1" applyFont="1" applyFill="1" applyBorder="1"/>
    <xf numFmtId="3" fontId="21" fillId="0" borderId="17" xfId="0" applyNumberFormat="1" applyFont="1" applyBorder="1" applyAlignment="1">
      <alignment horizontal="center" vertical="top" wrapText="1"/>
    </xf>
    <xf numFmtId="164" fontId="21" fillId="22" borderId="18" xfId="0" applyNumberFormat="1" applyFont="1" applyFill="1" applyBorder="1"/>
    <xf numFmtId="1" fontId="21" fillId="22" borderId="20" xfId="0" applyNumberFormat="1" applyFont="1" applyFill="1" applyBorder="1" applyAlignment="1">
      <alignment horizontal="center"/>
    </xf>
    <xf numFmtId="3" fontId="21" fillId="22" borderId="20" xfId="0" applyNumberFormat="1" applyFont="1" applyFill="1" applyBorder="1" applyAlignment="1">
      <alignment horizontal="center" vertical="top" wrapText="1"/>
    </xf>
    <xf numFmtId="3" fontId="18" fillId="22" borderId="20" xfId="0" applyNumberFormat="1" applyFont="1" applyFill="1" applyBorder="1"/>
    <xf numFmtId="3" fontId="21" fillId="22" borderId="14" xfId="0" applyNumberFormat="1" applyFont="1" applyFill="1" applyBorder="1" applyAlignment="1">
      <alignment horizontal="center" vertical="top" wrapText="1"/>
    </xf>
    <xf numFmtId="3" fontId="0" fillId="22" borderId="0" xfId="0" applyNumberFormat="1" applyFill="1"/>
    <xf numFmtId="1" fontId="21" fillId="22" borderId="17" xfId="0" applyNumberFormat="1" applyFont="1" applyFill="1" applyBorder="1" applyAlignment="1">
      <alignment horizontal="center"/>
    </xf>
    <xf numFmtId="3" fontId="21" fillId="22" borderId="17" xfId="0" applyNumberFormat="1" applyFont="1" applyFill="1" applyBorder="1" applyAlignment="1">
      <alignment horizontal="center" vertical="top" wrapText="1"/>
    </xf>
    <xf numFmtId="3" fontId="18" fillId="22" borderId="17" xfId="0" applyNumberFormat="1" applyFont="1" applyFill="1" applyBorder="1"/>
    <xf numFmtId="1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 vertical="top" wrapText="1"/>
    </xf>
    <xf numFmtId="0" fontId="0" fillId="0" borderId="0" xfId="0" applyNumberFormat="1"/>
    <xf numFmtId="3" fontId="18" fillId="0" borderId="21" xfId="0" applyNumberFormat="1" applyFont="1" applyBorder="1" applyAlignment="1">
      <alignment horizontal="center" vertical="top" wrapText="1"/>
    </xf>
    <xf numFmtId="3" fontId="18" fillId="22" borderId="21" xfId="0" applyNumberFormat="1" applyFont="1" applyFill="1" applyBorder="1" applyAlignment="1">
      <alignment horizontal="center" vertical="top" wrapText="1"/>
    </xf>
    <xf numFmtId="3" fontId="18" fillId="22" borderId="15" xfId="0" applyNumberFormat="1" applyFont="1" applyFill="1" applyBorder="1" applyAlignment="1">
      <alignment horizontal="center" vertical="top" wrapText="1"/>
    </xf>
    <xf numFmtId="0" fontId="0" fillId="0" borderId="0" xfId="0" applyFill="1"/>
    <xf numFmtId="164" fontId="21" fillId="0" borderId="0" xfId="0" applyNumberFormat="1" applyFont="1"/>
    <xf numFmtId="1" fontId="21" fillId="0" borderId="0" xfId="0" applyNumberFormat="1" applyFont="1"/>
    <xf numFmtId="3" fontId="21" fillId="0" borderId="0" xfId="0" applyNumberFormat="1" applyFont="1"/>
    <xf numFmtId="3" fontId="21" fillId="0" borderId="11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/>
    <xf numFmtId="3" fontId="21" fillId="0" borderId="17" xfId="0" applyNumberFormat="1" applyFont="1" applyBorder="1"/>
    <xf numFmtId="3" fontId="21" fillId="0" borderId="20" xfId="0" applyNumberFormat="1" applyFont="1" applyBorder="1"/>
    <xf numFmtId="0" fontId="18" fillId="0" borderId="0" xfId="0" applyFont="1" applyFill="1"/>
    <xf numFmtId="3" fontId="21" fillId="0" borderId="21" xfId="0" applyNumberFormat="1" applyFont="1" applyBorder="1"/>
    <xf numFmtId="3" fontId="21" fillId="0" borderId="15" xfId="0" applyNumberFormat="1" applyFont="1" applyBorder="1"/>
    <xf numFmtId="3" fontId="21" fillId="22" borderId="14" xfId="0" applyNumberFormat="1" applyFont="1" applyFill="1" applyBorder="1"/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21" xfId="0" applyNumberFormat="1" applyFont="1" applyFill="1" applyBorder="1"/>
    <xf numFmtId="3" fontId="21" fillId="22" borderId="20" xfId="0" applyNumberFormat="1" applyFont="1" applyFill="1" applyBorder="1"/>
    <xf numFmtId="3" fontId="21" fillId="22" borderId="17" xfId="0" applyNumberFormat="1" applyFont="1" applyFill="1" applyBorder="1"/>
    <xf numFmtId="164" fontId="21" fillId="0" borderId="23" xfId="0" applyNumberFormat="1" applyFont="1" applyBorder="1"/>
    <xf numFmtId="3" fontId="21" fillId="0" borderId="22" xfId="0" applyNumberFormat="1" applyFont="1" applyBorder="1" applyAlignment="1">
      <alignment horizontal="center" vertical="top" wrapText="1"/>
    </xf>
    <xf numFmtId="3" fontId="21" fillId="0" borderId="22" xfId="0" applyNumberFormat="1" applyFont="1" applyBorder="1"/>
    <xf numFmtId="164" fontId="21" fillId="22" borderId="24" xfId="0" applyNumberFormat="1" applyFont="1" applyFill="1" applyBorder="1"/>
    <xf numFmtId="1" fontId="21" fillId="22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 vertical="top" wrapText="1"/>
    </xf>
    <xf numFmtId="3" fontId="21" fillId="22" borderId="11" xfId="0" applyNumberFormat="1" applyFont="1" applyFill="1" applyBorder="1" applyAlignment="1">
      <alignment horizontal="center" vertical="top" wrapText="1"/>
    </xf>
    <xf numFmtId="3" fontId="21" fillId="0" borderId="19" xfId="0" applyNumberFormat="1" applyFont="1" applyBorder="1"/>
    <xf numFmtId="3" fontId="21" fillId="22" borderId="19" xfId="0" applyNumberFormat="1" applyFont="1" applyFill="1" applyBorder="1"/>
    <xf numFmtId="3" fontId="21" fillId="22" borderId="21" xfId="0" applyNumberFormat="1" applyFont="1" applyFill="1" applyBorder="1" applyAlignment="1">
      <alignment horizontal="center" vertical="top" wrapText="1"/>
    </xf>
    <xf numFmtId="3" fontId="21" fillId="0" borderId="21" xfId="0" applyNumberFormat="1" applyFont="1" applyBorder="1" applyAlignment="1">
      <alignment horizontal="center" vertical="top" wrapText="1"/>
    </xf>
    <xf numFmtId="3" fontId="0" fillId="0" borderId="0" xfId="0" applyNumberFormat="1" applyFill="1"/>
    <xf numFmtId="0" fontId="0" fillId="0" borderId="0" xfId="0" applyAlignment="1">
      <alignment wrapText="1"/>
    </xf>
    <xf numFmtId="0" fontId="23" fillId="0" borderId="0" xfId="0" applyFont="1"/>
    <xf numFmtId="3" fontId="23" fillId="0" borderId="0" xfId="0" applyNumberFormat="1" applyFont="1" applyAlignment="1">
      <alignment horizontal="center" vertical="center" wrapText="1"/>
    </xf>
    <xf numFmtId="0" fontId="0" fillId="0" borderId="37" xfId="0" applyBorder="1"/>
    <xf numFmtId="3" fontId="0" fillId="0" borderId="0" xfId="0" applyNumberFormat="1" applyAlignment="1">
      <alignment wrapText="1"/>
    </xf>
    <xf numFmtId="0" fontId="22" fillId="0" borderId="0" xfId="0" applyFont="1"/>
    <xf numFmtId="0" fontId="0" fillId="0" borderId="0" xfId="0" applyBorder="1"/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Fill="1"/>
    <xf numFmtId="0" fontId="24" fillId="0" borderId="0" xfId="0" applyFont="1" applyBorder="1"/>
    <xf numFmtId="0" fontId="0" fillId="24" borderId="0" xfId="0" applyFill="1" applyBorder="1"/>
    <xf numFmtId="0" fontId="0" fillId="24" borderId="0" xfId="0" applyFill="1"/>
    <xf numFmtId="0" fontId="0" fillId="6" borderId="0" xfId="0" applyFill="1"/>
    <xf numFmtId="0" fontId="25" fillId="0" borderId="0" xfId="0" applyFont="1"/>
    <xf numFmtId="3" fontId="23" fillId="0" borderId="0" xfId="0" applyNumberFormat="1" applyFont="1" applyFill="1"/>
    <xf numFmtId="0" fontId="24" fillId="0" borderId="0" xfId="0" applyFont="1" applyFill="1"/>
    <xf numFmtId="0" fontId="25" fillId="0" borderId="0" xfId="0" applyFont="1" applyFill="1"/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top" wrapText="1"/>
    </xf>
    <xf numFmtId="0" fontId="34" fillId="24" borderId="0" xfId="0" applyFont="1" applyFill="1" applyBorder="1" applyAlignment="1">
      <alignment vertical="top"/>
    </xf>
    <xf numFmtId="0" fontId="35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6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7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/>
    <xf numFmtId="0" fontId="37" fillId="4" borderId="25" xfId="0" applyFont="1" applyFill="1" applyBorder="1" applyAlignment="1">
      <alignment horizontal="center" vertical="center" wrapText="1"/>
    </xf>
    <xf numFmtId="0" fontId="30" fillId="4" borderId="25" xfId="0" applyFont="1" applyFill="1" applyBorder="1"/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/>
    <xf numFmtId="0" fontId="30" fillId="0" borderId="0" xfId="0" applyFont="1"/>
    <xf numFmtId="0" fontId="31" fillId="0" borderId="26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6" borderId="19" xfId="0" applyNumberFormat="1" applyFont="1" applyFill="1" applyBorder="1" applyAlignment="1">
      <alignment horizontal="center" vertical="center" wrapText="1"/>
    </xf>
    <xf numFmtId="3" fontId="31" fillId="0" borderId="27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6" borderId="14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Fill="1" applyBorder="1" applyAlignment="1">
      <alignment horizontal="center" vertical="center"/>
    </xf>
    <xf numFmtId="3" fontId="31" fillId="0" borderId="31" xfId="0" applyNumberFormat="1" applyFont="1" applyFill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31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Fill="1" applyBorder="1" applyAlignment="1">
      <alignment horizontal="center" vertical="center" wrapText="1"/>
    </xf>
    <xf numFmtId="3" fontId="31" fillId="0" borderId="31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vertical="center" wrapText="1"/>
    </xf>
    <xf numFmtId="3" fontId="31" fillId="0" borderId="31" xfId="0" applyNumberFormat="1" applyFont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/>
    </xf>
    <xf numFmtId="3" fontId="22" fillId="6" borderId="33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6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1" fillId="0" borderId="35" xfId="0" applyNumberFormat="1" applyFont="1" applyBorder="1" applyAlignment="1">
      <alignment horizontal="center" vertical="center"/>
    </xf>
    <xf numFmtId="3" fontId="31" fillId="0" borderId="36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1" fillId="22" borderId="29" xfId="0" applyFont="1" applyFill="1" applyBorder="1" applyAlignment="1">
      <alignment horizontal="center" vertical="center"/>
    </xf>
    <xf numFmtId="3" fontId="31" fillId="22" borderId="14" xfId="0" applyNumberFormat="1" applyFont="1" applyFill="1" applyBorder="1" applyAlignment="1">
      <alignment horizontal="center" vertical="center"/>
    </xf>
    <xf numFmtId="3" fontId="31" fillId="22" borderId="14" xfId="0" applyNumberFormat="1" applyFont="1" applyFill="1" applyBorder="1" applyAlignment="1">
      <alignment horizontal="center" vertical="center" wrapText="1"/>
    </xf>
    <xf numFmtId="3" fontId="31" fillId="22" borderId="30" xfId="0" applyNumberFormat="1" applyFont="1" applyFill="1" applyBorder="1" applyAlignment="1">
      <alignment horizontal="center" vertical="center"/>
    </xf>
    <xf numFmtId="3" fontId="31" fillId="22" borderId="31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 wrapText="1"/>
    </xf>
    <xf numFmtId="4" fontId="31" fillId="6" borderId="14" xfId="0" applyNumberFormat="1" applyFont="1" applyFill="1" applyBorder="1" applyAlignment="1">
      <alignment horizontal="center" vertical="center" wrapText="1"/>
    </xf>
    <xf numFmtId="4" fontId="31" fillId="0" borderId="31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5" fontId="31" fillId="24" borderId="22" xfId="0" applyNumberFormat="1" applyFont="1" applyFill="1" applyBorder="1" applyAlignment="1">
      <alignment horizontal="center" vertical="center" wrapText="1"/>
    </xf>
    <xf numFmtId="165" fontId="31" fillId="6" borderId="22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165" fontId="31" fillId="6" borderId="14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3" fontId="34" fillId="24" borderId="14" xfId="0" applyNumberFormat="1" applyFont="1" applyFill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3" fontId="31" fillId="6" borderId="22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 wrapText="1"/>
    </xf>
    <xf numFmtId="3" fontId="31" fillId="6" borderId="17" xfId="0" applyNumberFormat="1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/>
    </xf>
    <xf numFmtId="0" fontId="34" fillId="0" borderId="37" xfId="0" applyFont="1" applyBorder="1"/>
    <xf numFmtId="0" fontId="34" fillId="0" borderId="0" xfId="0" applyFont="1" applyAlignment="1">
      <alignment wrapText="1"/>
    </xf>
    <xf numFmtId="3" fontId="34" fillId="0" borderId="0" xfId="0" applyNumberFormat="1" applyFont="1" applyAlignment="1">
      <alignment wrapText="1"/>
    </xf>
    <xf numFmtId="3" fontId="34" fillId="0" borderId="0" xfId="0" applyNumberFormat="1" applyFont="1"/>
    <xf numFmtId="0" fontId="34" fillId="0" borderId="0" xfId="0" applyFont="1"/>
    <xf numFmtId="0" fontId="34" fillId="0" borderId="41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1" fillId="22" borderId="17" xfId="0" applyNumberFormat="1" applyFont="1" applyFill="1" applyBorder="1" applyAlignment="1">
      <alignment horizontal="center" vertical="center"/>
    </xf>
    <xf numFmtId="3" fontId="31" fillId="22" borderId="17" xfId="0" applyNumberFormat="1" applyFont="1" applyFill="1" applyBorder="1" applyAlignment="1">
      <alignment horizontal="center" vertical="center" wrapText="1"/>
    </xf>
    <xf numFmtId="0" fontId="31" fillId="22" borderId="38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3" fontId="29" fillId="0" borderId="19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165" fontId="30" fillId="22" borderId="31" xfId="0" applyNumberFormat="1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left" vertical="center" wrapText="1"/>
    </xf>
    <xf numFmtId="0" fontId="29" fillId="22" borderId="14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4" fontId="30" fillId="0" borderId="31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0" fontId="30" fillId="22" borderId="16" xfId="0" applyFont="1" applyFill="1" applyBorder="1" applyAlignment="1">
      <alignment horizontal="center" vertical="center"/>
    </xf>
    <xf numFmtId="0" fontId="30" fillId="22" borderId="17" xfId="0" applyFont="1" applyFill="1" applyBorder="1" applyAlignment="1">
      <alignment horizontal="left" vertical="center" wrapText="1"/>
    </xf>
    <xf numFmtId="4" fontId="30" fillId="22" borderId="17" xfId="0" applyNumberFormat="1" applyFont="1" applyFill="1" applyBorder="1" applyAlignment="1">
      <alignment horizontal="center" vertical="center"/>
    </xf>
    <xf numFmtId="4" fontId="30" fillId="22" borderId="3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0" fillId="4" borderId="0" xfId="0" applyFont="1" applyFill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4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9" fillId="22" borderId="14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left" vertical="center" wrapText="1"/>
    </xf>
    <xf numFmtId="0" fontId="34" fillId="4" borderId="20" xfId="0" applyFont="1" applyFill="1" applyBorder="1" applyAlignment="1">
      <alignment horizontal="center" vertical="center" wrapText="1"/>
    </xf>
    <xf numFmtId="3" fontId="31" fillId="4" borderId="20" xfId="0" applyNumberFormat="1" applyFont="1" applyFill="1" applyBorder="1" applyAlignment="1">
      <alignment horizontal="center" vertical="center" wrapText="1"/>
    </xf>
    <xf numFmtId="3" fontId="31" fillId="33" borderId="20" xfId="0" applyNumberFormat="1" applyFont="1" applyFill="1" applyBorder="1" applyAlignment="1">
      <alignment horizontal="center" vertical="center" wrapText="1"/>
    </xf>
    <xf numFmtId="3" fontId="29" fillId="4" borderId="20" xfId="0" applyNumberFormat="1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3" fontId="31" fillId="4" borderId="58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41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32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left" vertical="center" wrapText="1"/>
    </xf>
    <xf numFmtId="0" fontId="34" fillId="4" borderId="14" xfId="0" applyFont="1" applyFill="1" applyBorder="1" applyAlignment="1">
      <alignment horizontal="center" vertical="center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33" borderId="14" xfId="0" applyNumberFormat="1" applyFont="1" applyFill="1" applyBorder="1" applyAlignment="1">
      <alignment horizontal="center" vertical="center" wrapText="1"/>
    </xf>
    <xf numFmtId="3" fontId="29" fillId="4" borderId="14" xfId="0" applyNumberFormat="1" applyFont="1" applyFill="1" applyBorder="1" applyAlignment="1">
      <alignment horizontal="center" vertical="center" wrapText="1"/>
    </xf>
    <xf numFmtId="3" fontId="31" fillId="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6" fillId="32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6" fillId="0" borderId="31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3" fontId="30" fillId="0" borderId="42" xfId="0" applyNumberFormat="1" applyFont="1" applyFill="1" applyBorder="1" applyAlignment="1">
      <alignment horizontal="center" vertical="center" wrapText="1"/>
    </xf>
    <xf numFmtId="3" fontId="30" fillId="32" borderId="42" xfId="0" applyNumberFormat="1" applyFont="1" applyFill="1" applyBorder="1" applyAlignment="1">
      <alignment horizontal="center" vertical="center" wrapText="1"/>
    </xf>
    <xf numFmtId="3" fontId="43" fillId="0" borderId="42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3" fontId="43" fillId="0" borderId="59" xfId="0" applyNumberFormat="1" applyFont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3" fontId="30" fillId="0" borderId="43" xfId="0" applyNumberFormat="1" applyFont="1" applyFill="1" applyBorder="1" applyAlignment="1">
      <alignment horizontal="center" vertical="center" wrapText="1"/>
    </xf>
    <xf numFmtId="3" fontId="30" fillId="32" borderId="43" xfId="0" applyNumberFormat="1" applyFont="1" applyFill="1" applyBorder="1" applyAlignment="1">
      <alignment horizontal="center" vertical="center" wrapText="1"/>
    </xf>
    <xf numFmtId="3" fontId="43" fillId="0" borderId="43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3" fontId="43" fillId="0" borderId="6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32" borderId="44" xfId="0" applyNumberFormat="1" applyFont="1" applyFill="1" applyBorder="1" applyAlignment="1">
      <alignment horizontal="center" vertical="center" wrapText="1"/>
    </xf>
    <xf numFmtId="3" fontId="43" fillId="0" borderId="44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3" fontId="43" fillId="0" borderId="61" xfId="0" applyNumberFormat="1" applyFont="1" applyBorder="1" applyAlignment="1">
      <alignment horizontal="center" vertical="center"/>
    </xf>
    <xf numFmtId="0" fontId="30" fillId="0" borderId="4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3" fontId="30" fillId="32" borderId="14" xfId="0" applyNumberFormat="1" applyFont="1" applyFill="1" applyBorder="1" applyAlignment="1">
      <alignment horizontal="center" vertical="center" wrapText="1"/>
    </xf>
    <xf numFmtId="3" fontId="43" fillId="32" borderId="42" xfId="0" applyNumberFormat="1" applyFont="1" applyFill="1" applyBorder="1" applyAlignment="1">
      <alignment horizontal="center" vertical="center" wrapText="1"/>
    </xf>
    <xf numFmtId="3" fontId="43" fillId="32" borderId="43" xfId="0" applyNumberFormat="1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43" fillId="32" borderId="44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left" vertical="center" wrapText="1"/>
    </xf>
    <xf numFmtId="0" fontId="31" fillId="26" borderId="14" xfId="0" applyFont="1" applyFill="1" applyBorder="1" applyAlignment="1">
      <alignment horizontal="center" vertical="center" wrapText="1"/>
    </xf>
    <xf numFmtId="3" fontId="46" fillId="26" borderId="14" xfId="0" applyNumberFormat="1" applyFont="1" applyFill="1" applyBorder="1" applyAlignment="1">
      <alignment horizontal="center" vertical="center" wrapText="1"/>
    </xf>
    <xf numFmtId="3" fontId="31" fillId="32" borderId="14" xfId="0" applyNumberFormat="1" applyFont="1" applyFill="1" applyBorder="1" applyAlignment="1">
      <alignment horizontal="center" vertical="center" wrapText="1"/>
    </xf>
    <xf numFmtId="3" fontId="31" fillId="26" borderId="14" xfId="0" applyNumberFormat="1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3" fontId="46" fillId="26" borderId="31" xfId="0" applyNumberFormat="1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 wrapText="1"/>
    </xf>
    <xf numFmtId="3" fontId="30" fillId="25" borderId="14" xfId="0" applyNumberFormat="1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 wrapText="1"/>
    </xf>
    <xf numFmtId="3" fontId="43" fillId="25" borderId="31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3" fontId="30" fillId="32" borderId="2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2" fontId="46" fillId="0" borderId="41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  <xf numFmtId="3" fontId="43" fillId="26" borderId="22" xfId="0" applyNumberFormat="1" applyFont="1" applyFill="1" applyBorder="1" applyAlignment="1">
      <alignment horizontal="center" vertical="center" wrapText="1"/>
    </xf>
    <xf numFmtId="3" fontId="43" fillId="32" borderId="22" xfId="0" applyNumberFormat="1" applyFont="1" applyFill="1" applyBorder="1" applyAlignment="1">
      <alignment horizontal="center" vertical="center" wrapText="1"/>
    </xf>
    <xf numFmtId="3" fontId="45" fillId="26" borderId="36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right" vertical="center" wrapText="1"/>
    </xf>
    <xf numFmtId="0" fontId="30" fillId="0" borderId="49" xfId="0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30" fillId="32" borderId="49" xfId="0" applyNumberFormat="1" applyFont="1" applyFill="1" applyBorder="1" applyAlignment="1">
      <alignment horizontal="center" vertical="center" wrapText="1"/>
    </xf>
    <xf numFmtId="3" fontId="43" fillId="32" borderId="49" xfId="0" applyNumberFormat="1" applyFont="1" applyFill="1" applyBorder="1" applyAlignment="1">
      <alignment horizontal="center" vertical="center" wrapText="1"/>
    </xf>
    <xf numFmtId="3" fontId="43" fillId="0" borderId="49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3" fontId="43" fillId="0" borderId="62" xfId="0" applyNumberFormat="1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right" vertical="center" wrapText="1"/>
    </xf>
    <xf numFmtId="0" fontId="30" fillId="0" borderId="5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right" vertical="center" wrapText="1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3" fontId="30" fillId="32" borderId="52" xfId="0" applyNumberFormat="1" applyFont="1" applyFill="1" applyBorder="1" applyAlignment="1">
      <alignment horizontal="center" vertical="center" wrapText="1"/>
    </xf>
    <xf numFmtId="3" fontId="43" fillId="32" borderId="52" xfId="0" applyNumberFormat="1" applyFont="1" applyFill="1" applyBorder="1" applyAlignment="1">
      <alignment horizontal="center" vertical="center" wrapText="1"/>
    </xf>
    <xf numFmtId="3" fontId="43" fillId="0" borderId="52" xfId="0" applyNumberFormat="1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3" fontId="43" fillId="0" borderId="63" xfId="0" applyNumberFormat="1" applyFont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 wrapText="1"/>
    </xf>
    <xf numFmtId="3" fontId="30" fillId="32" borderId="53" xfId="0" applyNumberFormat="1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3" fontId="43" fillId="0" borderId="6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32" borderId="54" xfId="0" applyNumberFormat="1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3" fontId="43" fillId="0" borderId="65" xfId="0" applyNumberFormat="1" applyFont="1" applyBorder="1" applyAlignment="1">
      <alignment horizontal="center" vertical="center"/>
    </xf>
    <xf numFmtId="0" fontId="44" fillId="29" borderId="20" xfId="0" applyFont="1" applyFill="1" applyBorder="1" applyAlignment="1">
      <alignment horizontal="center" vertical="center" wrapText="1"/>
    </xf>
    <xf numFmtId="3" fontId="46" fillId="30" borderId="58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left" vertical="center" wrapText="1"/>
    </xf>
    <xf numFmtId="2" fontId="30" fillId="0" borderId="41" xfId="0" applyNumberFormat="1" applyFont="1" applyFill="1" applyBorder="1" applyAlignment="1">
      <alignment horizontal="left" vertical="center" wrapText="1"/>
    </xf>
    <xf numFmtId="2" fontId="31" fillId="0" borderId="41" xfId="0" applyNumberFormat="1" applyFont="1" applyFill="1" applyBorder="1" applyAlignment="1">
      <alignment horizontal="left" vertical="center" wrapText="1"/>
    </xf>
    <xf numFmtId="0" fontId="38" fillId="4" borderId="41" xfId="0" applyFont="1" applyFill="1" applyBorder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wrapText="1"/>
    </xf>
    <xf numFmtId="3" fontId="31" fillId="27" borderId="14" xfId="0" applyNumberFormat="1" applyFont="1" applyFill="1" applyBorder="1" applyAlignment="1">
      <alignment horizontal="center" vertical="center" wrapText="1"/>
    </xf>
    <xf numFmtId="3" fontId="43" fillId="28" borderId="31" xfId="0" applyNumberFormat="1" applyFont="1" applyFill="1" applyBorder="1" applyAlignment="1">
      <alignment horizontal="center" vertical="center"/>
    </xf>
    <xf numFmtId="0" fontId="43" fillId="0" borderId="4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left" vertical="center" wrapText="1"/>
    </xf>
    <xf numFmtId="3" fontId="30" fillId="0" borderId="33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 wrapText="1"/>
    </xf>
    <xf numFmtId="0" fontId="37" fillId="4" borderId="25" xfId="0" applyFont="1" applyFill="1" applyBorder="1" applyAlignment="1">
      <alignment horizontal="center" vertical="center" wrapText="1"/>
    </xf>
    <xf numFmtId="0" fontId="31" fillId="22" borderId="68" xfId="0" applyFont="1" applyFill="1" applyBorder="1" applyAlignment="1">
      <alignment horizontal="center" vertical="center" wrapText="1"/>
    </xf>
    <xf numFmtId="0" fontId="31" fillId="22" borderId="55" xfId="0" applyFont="1" applyFill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22" borderId="66" xfId="0" applyFont="1" applyFill="1" applyBorder="1" applyAlignment="1">
      <alignment horizontal="center" vertical="center" wrapText="1"/>
    </xf>
    <xf numFmtId="0" fontId="31" fillId="22" borderId="67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4" fillId="0" borderId="41" xfId="0" applyFont="1" applyBorder="1" applyAlignment="1">
      <alignment vertical="center"/>
    </xf>
    <xf numFmtId="0" fontId="34" fillId="0" borderId="3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textRotation="90"/>
    </xf>
    <xf numFmtId="0" fontId="31" fillId="22" borderId="39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4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1" fillId="22" borderId="66" xfId="0" applyFont="1" applyFill="1" applyBorder="1" applyAlignment="1">
      <alignment horizontal="center" vertical="center"/>
    </xf>
    <xf numFmtId="0" fontId="31" fillId="22" borderId="67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textRotation="90"/>
    </xf>
    <xf numFmtId="0" fontId="31" fillId="22" borderId="69" xfId="0" applyFont="1" applyFill="1" applyBorder="1" applyAlignment="1">
      <alignment horizontal="center" vertical="center" wrapText="1"/>
    </xf>
    <xf numFmtId="0" fontId="31" fillId="22" borderId="70" xfId="0" applyFont="1" applyFill="1" applyBorder="1" applyAlignment="1">
      <alignment horizontal="center" vertical="center" wrapText="1"/>
    </xf>
    <xf numFmtId="0" fontId="31" fillId="22" borderId="71" xfId="0" applyFont="1" applyFill="1" applyBorder="1" applyAlignment="1">
      <alignment horizontal="center" vertical="center" wrapText="1"/>
    </xf>
    <xf numFmtId="0" fontId="31" fillId="22" borderId="72" xfId="0" applyFont="1" applyFill="1" applyBorder="1" applyAlignment="1">
      <alignment horizontal="center" vertical="center" wrapText="1"/>
    </xf>
    <xf numFmtId="0" fontId="31" fillId="22" borderId="73" xfId="0" applyFont="1" applyFill="1" applyBorder="1" applyAlignment="1">
      <alignment horizontal="center" vertical="center" wrapText="1"/>
    </xf>
    <xf numFmtId="0" fontId="31" fillId="22" borderId="74" xfId="0" applyFont="1" applyFill="1" applyBorder="1" applyAlignment="1">
      <alignment horizontal="center" vertical="center" wrapText="1"/>
    </xf>
    <xf numFmtId="0" fontId="31" fillId="22" borderId="75" xfId="0" applyFont="1" applyFill="1" applyBorder="1" applyAlignment="1">
      <alignment horizontal="center" vertical="center" wrapText="1"/>
    </xf>
    <xf numFmtId="0" fontId="31" fillId="22" borderId="76" xfId="0" applyFont="1" applyFill="1" applyBorder="1" applyAlignment="1">
      <alignment horizontal="center" vertical="center"/>
    </xf>
    <xf numFmtId="0" fontId="31" fillId="34" borderId="66" xfId="0" applyFont="1" applyFill="1" applyBorder="1" applyAlignment="1">
      <alignment horizontal="center" vertical="center" wrapText="1"/>
    </xf>
    <xf numFmtId="0" fontId="31" fillId="34" borderId="67" xfId="0" applyFont="1" applyFill="1" applyBorder="1" applyAlignment="1">
      <alignment horizontal="center" vertical="center" wrapText="1"/>
    </xf>
    <xf numFmtId="0" fontId="31" fillId="34" borderId="66" xfId="0" applyFont="1" applyFill="1" applyBorder="1" applyAlignment="1">
      <alignment horizontal="center" vertical="center"/>
    </xf>
    <xf numFmtId="0" fontId="31" fillId="34" borderId="67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top"/>
    </xf>
    <xf numFmtId="0" fontId="31" fillId="22" borderId="10" xfId="0" applyFont="1" applyFill="1" applyBorder="1" applyAlignment="1">
      <alignment horizontal="center" vertical="center"/>
    </xf>
    <xf numFmtId="0" fontId="36" fillId="22" borderId="11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22" borderId="31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3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7" fillId="4" borderId="66" xfId="0" applyFont="1" applyFill="1" applyBorder="1" applyAlignment="1">
      <alignment horizontal="center" vertical="center"/>
    </xf>
    <xf numFmtId="0" fontId="37" fillId="4" borderId="67" xfId="0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29" fillId="22" borderId="20" xfId="0" applyFont="1" applyFill="1" applyBorder="1" applyAlignment="1">
      <alignment horizontal="center" vertical="center" wrapText="1"/>
    </xf>
    <xf numFmtId="0" fontId="29" fillId="22" borderId="56" xfId="0" applyFont="1" applyFill="1" applyBorder="1" applyAlignment="1">
      <alignment horizontal="center" vertical="center" wrapText="1"/>
    </xf>
    <xf numFmtId="0" fontId="29" fillId="22" borderId="57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9" fillId="31" borderId="14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42" fillId="22" borderId="1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2" fillId="22" borderId="48" xfId="0" applyFont="1" applyFill="1" applyBorder="1" applyAlignment="1">
      <alignment horizontal="center" vertical="center" wrapText="1"/>
    </xf>
    <xf numFmtId="0" fontId="42" fillId="2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22" borderId="24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22" borderId="19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  <xf numFmtId="0" fontId="0" fillId="0" borderId="77" xfId="0" applyBorder="1"/>
    <xf numFmtId="3" fontId="23" fillId="0" borderId="77" xfId="0" applyNumberFormat="1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opLeftCell="A18" zoomScale="90" zoomScaleNormal="90" workbookViewId="0">
      <selection activeCell="I37" sqref="I37"/>
    </sheetView>
  </sheetViews>
  <sheetFormatPr defaultRowHeight="12.75"/>
  <cols>
    <col min="1" max="1" width="15.140625" customWidth="1"/>
    <col min="2" max="2" width="6.5703125" style="1" customWidth="1"/>
    <col min="3" max="3" width="15.85546875" customWidth="1"/>
    <col min="4" max="4" width="12.7109375" customWidth="1"/>
    <col min="5" max="5" width="14.140625" style="2" customWidth="1"/>
    <col min="6" max="6" width="10.7109375" customWidth="1"/>
    <col min="7" max="7" width="10.85546875" customWidth="1"/>
    <col min="8" max="8" width="15.28515625" customWidth="1"/>
  </cols>
  <sheetData>
    <row r="1" spans="1:8" ht="46.5" customHeight="1">
      <c r="A1" s="424" t="s">
        <v>0</v>
      </c>
      <c r="B1" s="424"/>
      <c r="C1" s="424"/>
      <c r="D1" s="424"/>
      <c r="E1" s="424"/>
      <c r="F1" s="424"/>
      <c r="G1" s="424"/>
    </row>
    <row r="2" spans="1:8" ht="25.5">
      <c r="A2" s="3" t="s">
        <v>1</v>
      </c>
      <c r="B2" s="4"/>
      <c r="C2" s="5" t="s">
        <v>2</v>
      </c>
      <c r="D2" s="6" t="s">
        <v>3</v>
      </c>
      <c r="E2" s="7" t="s">
        <v>4</v>
      </c>
      <c r="F2" s="6" t="s">
        <v>5</v>
      </c>
      <c r="G2" s="8" t="s">
        <v>6</v>
      </c>
    </row>
    <row r="3" spans="1:8" ht="15">
      <c r="A3" s="9" t="s">
        <v>7</v>
      </c>
      <c r="B3" s="10">
        <v>90</v>
      </c>
      <c r="C3" s="11">
        <v>20500000</v>
      </c>
      <c r="D3" s="12">
        <v>0</v>
      </c>
      <c r="E3" s="13">
        <v>0</v>
      </c>
      <c r="F3" s="13">
        <v>0</v>
      </c>
      <c r="G3" s="13"/>
    </row>
    <row r="4" spans="1:8" ht="0.75" customHeight="1">
      <c r="A4" s="14" t="s">
        <v>8</v>
      </c>
      <c r="B4" s="15">
        <v>90</v>
      </c>
      <c r="C4" s="11">
        <f>C3</f>
        <v>20500000</v>
      </c>
      <c r="D4" s="12">
        <v>0</v>
      </c>
      <c r="E4" s="13">
        <f>B4*C4*5.5%/360</f>
        <v>281875</v>
      </c>
      <c r="F4" s="16">
        <v>0</v>
      </c>
      <c r="G4" s="16">
        <f>E3+E4</f>
        <v>281875</v>
      </c>
    </row>
    <row r="5" spans="1:8" s="2" customFormat="1" ht="15">
      <c r="A5" s="17" t="s">
        <v>9</v>
      </c>
      <c r="B5" s="18">
        <v>90</v>
      </c>
      <c r="C5" s="11">
        <f t="shared" ref="C5:C39" si="0">C4-D4</f>
        <v>20500000</v>
      </c>
      <c r="D5" s="12">
        <v>12500</v>
      </c>
      <c r="E5" s="13">
        <f>B5*C5*0.07/360</f>
        <v>358750.00000000006</v>
      </c>
      <c r="F5" s="19"/>
      <c r="G5" s="19"/>
    </row>
    <row r="6" spans="1:8" ht="15">
      <c r="A6" s="9" t="s">
        <v>10</v>
      </c>
      <c r="B6" s="20">
        <v>90</v>
      </c>
      <c r="C6" s="11">
        <f t="shared" si="0"/>
        <v>20487500</v>
      </c>
      <c r="D6" s="12">
        <v>12500</v>
      </c>
      <c r="E6" s="13">
        <f>B6*C6*0.07/360</f>
        <v>358531.25000000006</v>
      </c>
      <c r="F6" s="13"/>
      <c r="G6" s="13"/>
      <c r="H6" s="21">
        <f>SUM(D5:D8)</f>
        <v>50000</v>
      </c>
    </row>
    <row r="7" spans="1:8" ht="15">
      <c r="A7" s="9" t="s">
        <v>11</v>
      </c>
      <c r="B7" s="10">
        <v>90</v>
      </c>
      <c r="C7" s="11">
        <f t="shared" si="0"/>
        <v>20475000</v>
      </c>
      <c r="D7" s="12">
        <f t="shared" ref="D7:D28" si="1">D6</f>
        <v>12500</v>
      </c>
      <c r="E7" s="13">
        <f t="shared" ref="E7:E40" si="2">B7*C7*0.07/360</f>
        <v>358312.50000000006</v>
      </c>
      <c r="F7" s="13"/>
      <c r="G7" s="13"/>
    </row>
    <row r="8" spans="1:8" ht="15">
      <c r="A8" s="14" t="s">
        <v>12</v>
      </c>
      <c r="B8" s="22">
        <v>90</v>
      </c>
      <c r="C8" s="11">
        <f t="shared" si="0"/>
        <v>20462500</v>
      </c>
      <c r="D8" s="12">
        <f t="shared" si="1"/>
        <v>12500</v>
      </c>
      <c r="E8" s="13">
        <f t="shared" si="2"/>
        <v>358093.75000000006</v>
      </c>
      <c r="F8" s="16">
        <f>D6+D7+D8+D5</f>
        <v>50000</v>
      </c>
      <c r="G8" s="16">
        <v>1433687</v>
      </c>
    </row>
    <row r="9" spans="1:8" ht="15">
      <c r="A9" s="17" t="s">
        <v>13</v>
      </c>
      <c r="B9" s="23">
        <v>90</v>
      </c>
      <c r="C9" s="11">
        <f t="shared" si="0"/>
        <v>20450000</v>
      </c>
      <c r="D9" s="12">
        <f t="shared" si="1"/>
        <v>12500</v>
      </c>
      <c r="E9" s="13">
        <f t="shared" si="2"/>
        <v>357875.00000000006</v>
      </c>
      <c r="F9" s="19"/>
      <c r="G9" s="19"/>
    </row>
    <row r="10" spans="1:8" ht="15">
      <c r="A10" s="9" t="s">
        <v>14</v>
      </c>
      <c r="B10" s="10">
        <v>90</v>
      </c>
      <c r="C10" s="11">
        <f t="shared" si="0"/>
        <v>20437500</v>
      </c>
      <c r="D10" s="12">
        <f t="shared" si="1"/>
        <v>12500</v>
      </c>
      <c r="E10" s="13">
        <f t="shared" si="2"/>
        <v>357656.25000000006</v>
      </c>
      <c r="F10" s="13"/>
      <c r="G10" s="13"/>
      <c r="H10" s="21">
        <v>50000</v>
      </c>
    </row>
    <row r="11" spans="1:8" ht="15">
      <c r="A11" s="9" t="s">
        <v>15</v>
      </c>
      <c r="B11" s="10">
        <v>90</v>
      </c>
      <c r="C11" s="11">
        <f t="shared" si="0"/>
        <v>20425000</v>
      </c>
      <c r="D11" s="12">
        <f t="shared" si="1"/>
        <v>12500</v>
      </c>
      <c r="E11" s="13">
        <f t="shared" si="2"/>
        <v>357437.50000000006</v>
      </c>
      <c r="F11" s="13"/>
      <c r="G11" s="13"/>
    </row>
    <row r="12" spans="1:8" ht="15">
      <c r="A12" s="14" t="s">
        <v>16</v>
      </c>
      <c r="B12" s="22">
        <v>90</v>
      </c>
      <c r="C12" s="11">
        <f t="shared" si="0"/>
        <v>20412500</v>
      </c>
      <c r="D12" s="12">
        <f t="shared" si="1"/>
        <v>12500</v>
      </c>
      <c r="E12" s="13">
        <f t="shared" si="2"/>
        <v>357218.75000000006</v>
      </c>
      <c r="F12" s="24">
        <f>SUM(D9:D12)</f>
        <v>50000</v>
      </c>
      <c r="G12" s="24">
        <v>1430187</v>
      </c>
    </row>
    <row r="13" spans="1:8" ht="15">
      <c r="A13" s="17" t="s">
        <v>17</v>
      </c>
      <c r="B13" s="23">
        <v>90</v>
      </c>
      <c r="C13" s="11">
        <f t="shared" si="0"/>
        <v>20400000</v>
      </c>
      <c r="D13" s="12">
        <f t="shared" si="1"/>
        <v>12500</v>
      </c>
      <c r="E13" s="13">
        <f t="shared" si="2"/>
        <v>357000.00000000006</v>
      </c>
      <c r="F13" s="25"/>
      <c r="G13" s="25"/>
    </row>
    <row r="14" spans="1:8" ht="15">
      <c r="A14" s="9" t="s">
        <v>18</v>
      </c>
      <c r="B14" s="10">
        <v>90</v>
      </c>
      <c r="C14" s="11">
        <f t="shared" si="0"/>
        <v>20387500</v>
      </c>
      <c r="D14" s="12">
        <f t="shared" si="1"/>
        <v>12500</v>
      </c>
      <c r="E14" s="13">
        <f t="shared" si="2"/>
        <v>356781.25000000006</v>
      </c>
      <c r="F14" s="13"/>
      <c r="G14" s="13"/>
      <c r="H14" s="21">
        <v>50000</v>
      </c>
    </row>
    <row r="15" spans="1:8" ht="15">
      <c r="A15" s="9" t="s">
        <v>19</v>
      </c>
      <c r="B15" s="10">
        <v>90</v>
      </c>
      <c r="C15" s="11">
        <f t="shared" si="0"/>
        <v>20375000</v>
      </c>
      <c r="D15" s="12">
        <f t="shared" si="1"/>
        <v>12500</v>
      </c>
      <c r="E15" s="13">
        <f t="shared" si="2"/>
        <v>356562.50000000006</v>
      </c>
      <c r="F15" s="13"/>
      <c r="G15" s="13"/>
    </row>
    <row r="16" spans="1:8" ht="15">
      <c r="A16" s="14" t="s">
        <v>20</v>
      </c>
      <c r="B16" s="22">
        <v>90</v>
      </c>
      <c r="C16" s="11">
        <f t="shared" si="0"/>
        <v>20362500</v>
      </c>
      <c r="D16" s="12">
        <f t="shared" si="1"/>
        <v>12500</v>
      </c>
      <c r="E16" s="13">
        <f t="shared" si="2"/>
        <v>356343.75000000006</v>
      </c>
      <c r="F16" s="24">
        <f>SUM(D13:D16)</f>
        <v>50000</v>
      </c>
      <c r="G16" s="24">
        <v>1426688</v>
      </c>
    </row>
    <row r="17" spans="1:8" ht="15">
      <c r="A17" s="17" t="s">
        <v>21</v>
      </c>
      <c r="B17" s="23">
        <v>90</v>
      </c>
      <c r="C17" s="11">
        <f t="shared" si="0"/>
        <v>20350000</v>
      </c>
      <c r="D17" s="12">
        <f t="shared" si="1"/>
        <v>12500</v>
      </c>
      <c r="E17" s="13">
        <f t="shared" si="2"/>
        <v>356125.00000000006</v>
      </c>
      <c r="F17" s="25"/>
      <c r="G17" s="25"/>
    </row>
    <row r="18" spans="1:8" ht="15">
      <c r="A18" s="9" t="s">
        <v>22</v>
      </c>
      <c r="B18" s="10">
        <v>90</v>
      </c>
      <c r="C18" s="11">
        <f t="shared" si="0"/>
        <v>20337500</v>
      </c>
      <c r="D18" s="12">
        <f t="shared" si="1"/>
        <v>12500</v>
      </c>
      <c r="E18" s="13">
        <f t="shared" si="2"/>
        <v>355906.25000000006</v>
      </c>
      <c r="F18" s="13"/>
      <c r="G18" s="13"/>
      <c r="H18" s="21">
        <v>50000</v>
      </c>
    </row>
    <row r="19" spans="1:8" s="30" customFormat="1" ht="15">
      <c r="A19" s="26" t="s">
        <v>23</v>
      </c>
      <c r="B19" s="27">
        <v>90</v>
      </c>
      <c r="C19" s="11">
        <f t="shared" si="0"/>
        <v>20325000</v>
      </c>
      <c r="D19" s="12">
        <f t="shared" si="1"/>
        <v>12500</v>
      </c>
      <c r="E19" s="13">
        <f t="shared" si="2"/>
        <v>355687.50000000006</v>
      </c>
      <c r="F19" s="28"/>
      <c r="G19" s="28"/>
      <c r="H19" s="29"/>
    </row>
    <row r="20" spans="1:8" s="30" customFormat="1" ht="15">
      <c r="A20" s="31" t="s">
        <v>24</v>
      </c>
      <c r="B20" s="32">
        <v>90</v>
      </c>
      <c r="C20" s="11">
        <f t="shared" si="0"/>
        <v>20312500</v>
      </c>
      <c r="D20" s="12">
        <f t="shared" si="1"/>
        <v>12500</v>
      </c>
      <c r="E20" s="13">
        <f t="shared" si="2"/>
        <v>355468.75000000006</v>
      </c>
      <c r="F20" s="33">
        <f>SUM(D17:D20)</f>
        <v>50000</v>
      </c>
      <c r="G20" s="33">
        <v>1423188</v>
      </c>
    </row>
    <row r="21" spans="1:8" ht="15">
      <c r="A21" s="17" t="s">
        <v>25</v>
      </c>
      <c r="B21" s="20">
        <v>90</v>
      </c>
      <c r="C21" s="11">
        <f t="shared" si="0"/>
        <v>20300000</v>
      </c>
      <c r="D21" s="12">
        <f t="shared" si="1"/>
        <v>12500</v>
      </c>
      <c r="E21" s="13">
        <f t="shared" si="2"/>
        <v>355250.00000000006</v>
      </c>
      <c r="F21" s="19"/>
      <c r="G21" s="19"/>
    </row>
    <row r="22" spans="1:8" ht="15">
      <c r="A22" s="9" t="s">
        <v>26</v>
      </c>
      <c r="B22" s="20">
        <v>90</v>
      </c>
      <c r="C22" s="11">
        <f t="shared" si="0"/>
        <v>20287500</v>
      </c>
      <c r="D22" s="12">
        <f t="shared" si="1"/>
        <v>12500</v>
      </c>
      <c r="E22" s="13">
        <f t="shared" si="2"/>
        <v>355031.25000000006</v>
      </c>
      <c r="F22" s="13"/>
      <c r="G22" s="13"/>
      <c r="H22" s="21">
        <v>50000</v>
      </c>
    </row>
    <row r="23" spans="1:8" ht="15">
      <c r="A23" s="9" t="s">
        <v>27</v>
      </c>
      <c r="B23" s="20">
        <v>90</v>
      </c>
      <c r="C23" s="11">
        <f t="shared" si="0"/>
        <v>20275000</v>
      </c>
      <c r="D23" s="12">
        <f t="shared" si="1"/>
        <v>12500</v>
      </c>
      <c r="E23" s="13">
        <f t="shared" si="2"/>
        <v>354812.50000000006</v>
      </c>
      <c r="F23" s="13"/>
      <c r="G23" s="13"/>
    </row>
    <row r="24" spans="1:8" ht="15">
      <c r="A24" s="14" t="s">
        <v>28</v>
      </c>
      <c r="B24" s="22">
        <v>90</v>
      </c>
      <c r="C24" s="34">
        <f t="shared" si="0"/>
        <v>20262500</v>
      </c>
      <c r="D24" s="12">
        <f t="shared" si="1"/>
        <v>12500</v>
      </c>
      <c r="E24" s="13">
        <f t="shared" si="2"/>
        <v>354593.75000000006</v>
      </c>
      <c r="F24" s="16">
        <f>SUM(D21:D24)</f>
        <v>50000</v>
      </c>
      <c r="G24" s="16">
        <v>1419687</v>
      </c>
    </row>
    <row r="25" spans="1:8" s="30" customFormat="1" ht="15">
      <c r="A25" s="35" t="s">
        <v>29</v>
      </c>
      <c r="B25" s="36">
        <v>90</v>
      </c>
      <c r="C25" s="37">
        <f t="shared" si="0"/>
        <v>20250000</v>
      </c>
      <c r="D25" s="12">
        <f t="shared" si="1"/>
        <v>12500</v>
      </c>
      <c r="E25" s="13">
        <f t="shared" si="2"/>
        <v>354375.00000000006</v>
      </c>
      <c r="F25" s="38"/>
      <c r="G25" s="38"/>
    </row>
    <row r="26" spans="1:8" s="30" customFormat="1" ht="15">
      <c r="A26" s="26" t="s">
        <v>30</v>
      </c>
      <c r="B26" s="27">
        <v>90</v>
      </c>
      <c r="C26" s="39">
        <f t="shared" si="0"/>
        <v>20237500</v>
      </c>
      <c r="D26" s="12">
        <f t="shared" si="1"/>
        <v>12500</v>
      </c>
      <c r="E26" s="13">
        <f t="shared" si="2"/>
        <v>354156.25000000006</v>
      </c>
      <c r="F26" s="28"/>
      <c r="G26" s="28"/>
      <c r="H26" s="40">
        <f>SUM(D25:D28)</f>
        <v>50000</v>
      </c>
    </row>
    <row r="27" spans="1:8" s="30" customFormat="1" ht="15">
      <c r="A27" s="26" t="s">
        <v>31</v>
      </c>
      <c r="B27" s="27">
        <v>90</v>
      </c>
      <c r="C27" s="39">
        <f t="shared" si="0"/>
        <v>20225000</v>
      </c>
      <c r="D27" s="12">
        <f t="shared" si="1"/>
        <v>12500</v>
      </c>
      <c r="E27" s="13">
        <f t="shared" si="2"/>
        <v>353937.50000000006</v>
      </c>
      <c r="F27" s="28"/>
      <c r="G27" s="28"/>
    </row>
    <row r="28" spans="1:8" s="30" customFormat="1" ht="15">
      <c r="A28" s="31" t="s">
        <v>32</v>
      </c>
      <c r="B28" s="41">
        <v>90</v>
      </c>
      <c r="C28" s="42">
        <f t="shared" si="0"/>
        <v>20212500</v>
      </c>
      <c r="D28" s="12">
        <f t="shared" si="1"/>
        <v>12500</v>
      </c>
      <c r="E28" s="13">
        <f t="shared" si="2"/>
        <v>353718.75000000006</v>
      </c>
      <c r="F28" s="43">
        <f>SUM(D25:D28)</f>
        <v>50000</v>
      </c>
      <c r="G28" s="43">
        <v>1416188</v>
      </c>
    </row>
    <row r="29" spans="1:8" ht="15">
      <c r="A29" s="17" t="s">
        <v>33</v>
      </c>
      <c r="B29" s="44">
        <v>90</v>
      </c>
      <c r="C29" s="45">
        <f t="shared" si="0"/>
        <v>20200000</v>
      </c>
      <c r="D29" s="12">
        <v>750000</v>
      </c>
      <c r="E29" s="13">
        <f t="shared" si="2"/>
        <v>353500.00000000006</v>
      </c>
      <c r="F29" s="19"/>
      <c r="G29" s="19"/>
      <c r="H29" s="46">
        <f>C29/12</f>
        <v>1683333.3333333333</v>
      </c>
    </row>
    <row r="30" spans="1:8" ht="15">
      <c r="A30" s="9" t="s">
        <v>34</v>
      </c>
      <c r="B30" s="10">
        <v>90</v>
      </c>
      <c r="C30" s="11">
        <f t="shared" si="0"/>
        <v>19450000</v>
      </c>
      <c r="D30" s="12">
        <v>750528</v>
      </c>
      <c r="E30" s="13">
        <f t="shared" si="2"/>
        <v>340375.00000000006</v>
      </c>
      <c r="F30" s="13"/>
      <c r="G30" s="13"/>
      <c r="H30" s="21">
        <f>SUM(D29:D32)</f>
        <v>2750528</v>
      </c>
    </row>
    <row r="31" spans="1:8" ht="15">
      <c r="A31" s="9" t="s">
        <v>35</v>
      </c>
      <c r="B31" s="10">
        <v>90</v>
      </c>
      <c r="C31" s="11">
        <f t="shared" si="0"/>
        <v>18699472</v>
      </c>
      <c r="D31" s="12">
        <v>625000</v>
      </c>
      <c r="E31" s="13">
        <f t="shared" si="2"/>
        <v>327240.76</v>
      </c>
      <c r="F31" s="13"/>
      <c r="G31" s="13"/>
    </row>
    <row r="32" spans="1:8" ht="15">
      <c r="A32" s="14" t="s">
        <v>36</v>
      </c>
      <c r="B32" s="15">
        <v>90</v>
      </c>
      <c r="C32" s="34">
        <f t="shared" si="0"/>
        <v>18074472</v>
      </c>
      <c r="D32" s="47">
        <v>625000</v>
      </c>
      <c r="E32" s="13">
        <f t="shared" si="2"/>
        <v>316303.26</v>
      </c>
      <c r="F32" s="16">
        <f>SUM(D29:D32)</f>
        <v>2750528</v>
      </c>
      <c r="G32" s="16">
        <v>1337419</v>
      </c>
    </row>
    <row r="33" spans="1:8" s="30" customFormat="1" ht="15">
      <c r="A33" s="35" t="s">
        <v>37</v>
      </c>
      <c r="B33" s="36">
        <v>90</v>
      </c>
      <c r="C33" s="37">
        <f t="shared" si="0"/>
        <v>17449472</v>
      </c>
      <c r="D33" s="48">
        <f>D32</f>
        <v>625000</v>
      </c>
      <c r="E33" s="28">
        <f t="shared" si="2"/>
        <v>305365.76000000001</v>
      </c>
      <c r="F33" s="38"/>
      <c r="G33" s="38"/>
    </row>
    <row r="34" spans="1:8" s="30" customFormat="1" ht="15">
      <c r="A34" s="26" t="s">
        <v>38</v>
      </c>
      <c r="B34" s="27">
        <v>90</v>
      </c>
      <c r="C34" s="39">
        <f t="shared" si="0"/>
        <v>16824472</v>
      </c>
      <c r="D34" s="48">
        <f>D33</f>
        <v>625000</v>
      </c>
      <c r="E34" s="28">
        <f t="shared" si="2"/>
        <v>294428.26</v>
      </c>
      <c r="F34" s="28"/>
      <c r="G34" s="28"/>
      <c r="H34" s="40">
        <f>SUM(D33:D36)</f>
        <v>5750523</v>
      </c>
    </row>
    <row r="35" spans="1:8" s="30" customFormat="1" ht="15">
      <c r="A35" s="26" t="s">
        <v>39</v>
      </c>
      <c r="B35" s="27">
        <v>90</v>
      </c>
      <c r="C35" s="39">
        <f t="shared" si="0"/>
        <v>16199472</v>
      </c>
      <c r="D35" s="49">
        <v>2250261</v>
      </c>
      <c r="E35" s="28">
        <f t="shared" si="2"/>
        <v>283490.76</v>
      </c>
      <c r="F35" s="28"/>
      <c r="G35" s="28"/>
    </row>
    <row r="36" spans="1:8" s="30" customFormat="1" ht="15">
      <c r="A36" s="31" t="s">
        <v>40</v>
      </c>
      <c r="B36" s="41">
        <v>90</v>
      </c>
      <c r="C36" s="42">
        <f t="shared" si="0"/>
        <v>13949211</v>
      </c>
      <c r="D36" s="48">
        <v>2250262</v>
      </c>
      <c r="E36" s="28">
        <f t="shared" si="2"/>
        <v>244111.19250000003</v>
      </c>
      <c r="F36" s="43">
        <f>SUM(D33:D36)</f>
        <v>5750523</v>
      </c>
      <c r="G36" s="43">
        <v>1127396</v>
      </c>
    </row>
    <row r="37" spans="1:8" ht="15">
      <c r="A37" s="17" t="s">
        <v>41</v>
      </c>
      <c r="B37" s="44">
        <v>90</v>
      </c>
      <c r="C37" s="45">
        <f t="shared" si="0"/>
        <v>11698949</v>
      </c>
      <c r="D37" s="48">
        <v>625000</v>
      </c>
      <c r="E37" s="13">
        <f>B37*C37*0.07/360</f>
        <v>204731.60750000001</v>
      </c>
      <c r="F37" s="19"/>
      <c r="G37" s="19"/>
    </row>
    <row r="38" spans="1:8" ht="15">
      <c r="A38" s="9" t="s">
        <v>42</v>
      </c>
      <c r="B38" s="10">
        <v>90</v>
      </c>
      <c r="C38" s="11">
        <f t="shared" si="0"/>
        <v>11073949</v>
      </c>
      <c r="D38" s="48">
        <v>625000</v>
      </c>
      <c r="E38" s="13">
        <f t="shared" si="2"/>
        <v>193794.10750000001</v>
      </c>
      <c r="F38" s="13"/>
      <c r="G38" s="13"/>
      <c r="H38" s="21">
        <f>SUM(D37:D40)</f>
        <v>5750534</v>
      </c>
    </row>
    <row r="39" spans="1:8" ht="15">
      <c r="A39" s="9" t="s">
        <v>43</v>
      </c>
      <c r="B39" s="10">
        <v>90</v>
      </c>
      <c r="C39" s="11">
        <f t="shared" si="0"/>
        <v>10448949</v>
      </c>
      <c r="D39" s="49">
        <v>2250267</v>
      </c>
      <c r="E39" s="13">
        <f t="shared" si="2"/>
        <v>182856.60750000001</v>
      </c>
      <c r="F39" s="13"/>
      <c r="G39" s="13"/>
    </row>
    <row r="40" spans="1:8" ht="15">
      <c r="A40" s="14" t="s">
        <v>44</v>
      </c>
      <c r="B40" s="15">
        <v>90</v>
      </c>
      <c r="C40" s="34">
        <f>C39-D39</f>
        <v>8198682</v>
      </c>
      <c r="D40" s="48">
        <f>D39</f>
        <v>2250267</v>
      </c>
      <c r="E40" s="13">
        <f t="shared" si="2"/>
        <v>143476.935</v>
      </c>
      <c r="F40" s="16">
        <f>SUM(D37:D40)</f>
        <v>5750534</v>
      </c>
      <c r="G40" s="16">
        <v>724859</v>
      </c>
    </row>
    <row r="41" spans="1:8" ht="15">
      <c r="A41" s="17" t="s">
        <v>45</v>
      </c>
      <c r="B41" s="44">
        <v>90</v>
      </c>
      <c r="C41" s="45">
        <f>C40-D40</f>
        <v>5948415</v>
      </c>
      <c r="D41" s="48">
        <v>1500000</v>
      </c>
      <c r="E41" s="13">
        <f>B41*C41*0.07/360</f>
        <v>104097.2625</v>
      </c>
      <c r="F41" s="19"/>
      <c r="G41" s="19"/>
    </row>
    <row r="42" spans="1:8" ht="15">
      <c r="A42" s="9" t="s">
        <v>46</v>
      </c>
      <c r="B42" s="10">
        <v>90</v>
      </c>
      <c r="C42" s="11">
        <f>C41-D41</f>
        <v>4448415</v>
      </c>
      <c r="D42" s="48">
        <v>1500000</v>
      </c>
      <c r="E42" s="13">
        <f>B42*C42*0.07/360</f>
        <v>77847.262500000012</v>
      </c>
      <c r="F42" s="13"/>
      <c r="G42" s="13"/>
      <c r="H42" s="21">
        <f>SUM(D41:D44)</f>
        <v>5948415</v>
      </c>
    </row>
    <row r="43" spans="1:8" ht="15">
      <c r="A43" s="9" t="s">
        <v>47</v>
      </c>
      <c r="B43" s="10">
        <v>90</v>
      </c>
      <c r="C43" s="11">
        <f>C42-D42</f>
        <v>2948415</v>
      </c>
      <c r="D43" s="48">
        <v>1500000</v>
      </c>
      <c r="E43" s="13">
        <f>B43*C43*0.07/360</f>
        <v>51597.262499999997</v>
      </c>
      <c r="F43" s="13"/>
      <c r="G43" s="13"/>
    </row>
    <row r="44" spans="1:8" ht="15">
      <c r="A44" s="14" t="s">
        <v>48</v>
      </c>
      <c r="B44" s="15">
        <v>90</v>
      </c>
      <c r="C44" s="34">
        <f>C43-D43</f>
        <v>1448415</v>
      </c>
      <c r="D44" s="48">
        <v>1448415</v>
      </c>
      <c r="E44" s="13">
        <f>B44*C44*0.07/360</f>
        <v>25347.262500000001</v>
      </c>
      <c r="F44" s="16">
        <f>SUM(D41:D44)</f>
        <v>5948415</v>
      </c>
      <c r="G44" s="16">
        <v>258889</v>
      </c>
    </row>
    <row r="45" spans="1:8">
      <c r="D45" s="21">
        <f>SUM(D5:D44)</f>
        <v>20500000</v>
      </c>
      <c r="F45" s="21">
        <f>SUM(F8+F12+F16+F20+F24++F28+F32+F36+F40+F44)</f>
        <v>20500000</v>
      </c>
    </row>
    <row r="46" spans="1:8">
      <c r="F46" s="21">
        <f>F45-C3</f>
        <v>0</v>
      </c>
      <c r="H46" s="21">
        <f>SUM(H42,H38,H34,H30,H26,H22,H14,H10,H6,H18)</f>
        <v>20500000</v>
      </c>
    </row>
  </sheetData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topLeftCell="A19" zoomScale="90" zoomScaleNormal="90" workbookViewId="0">
      <selection activeCell="K38" sqref="K38"/>
    </sheetView>
  </sheetViews>
  <sheetFormatPr defaultRowHeight="12.75"/>
  <cols>
    <col min="1" max="1" width="15.140625" customWidth="1"/>
    <col min="2" max="2" width="6.5703125" style="1" customWidth="1"/>
    <col min="3" max="3" width="15.42578125" customWidth="1"/>
    <col min="4" max="4" width="18.42578125" customWidth="1"/>
    <col min="5" max="5" width="8.42578125" style="2" customWidth="1"/>
    <col min="6" max="6" width="12" customWidth="1"/>
    <col min="7" max="7" width="10.7109375" customWidth="1"/>
    <col min="8" max="8" width="17.140625" style="50" customWidth="1"/>
    <col min="9" max="36" width="9" style="50" customWidth="1"/>
  </cols>
  <sheetData>
    <row r="1" spans="1:36" ht="46.5" customHeight="1">
      <c r="A1" s="424" t="s">
        <v>49</v>
      </c>
      <c r="B1" s="424"/>
      <c r="C1" s="424"/>
      <c r="D1" s="424"/>
      <c r="E1" s="424"/>
      <c r="F1" s="424"/>
      <c r="G1" s="424"/>
    </row>
    <row r="2" spans="1:36" ht="15">
      <c r="A2" s="51"/>
      <c r="B2" s="52"/>
      <c r="C2" s="53"/>
      <c r="D2" s="53"/>
      <c r="E2" s="53"/>
      <c r="F2" s="53"/>
      <c r="G2" s="53"/>
    </row>
    <row r="3" spans="1:36" ht="31.5">
      <c r="A3" s="3" t="s">
        <v>1</v>
      </c>
      <c r="B3" s="4"/>
      <c r="C3" s="5" t="s">
        <v>2</v>
      </c>
      <c r="D3" s="5" t="s">
        <v>3</v>
      </c>
      <c r="E3" s="54" t="s">
        <v>4</v>
      </c>
      <c r="F3" s="5" t="s">
        <v>5</v>
      </c>
      <c r="G3" s="55" t="s">
        <v>6</v>
      </c>
    </row>
    <row r="4" spans="1:36" ht="15">
      <c r="A4" s="9" t="s">
        <v>7</v>
      </c>
      <c r="B4" s="10">
        <v>90</v>
      </c>
      <c r="C4" s="11">
        <v>0</v>
      </c>
      <c r="D4" s="56">
        <v>0</v>
      </c>
      <c r="E4" s="57">
        <v>0</v>
      </c>
      <c r="F4" s="57">
        <v>0</v>
      </c>
      <c r="G4" s="57"/>
    </row>
    <row r="5" spans="1:36" ht="0.75" customHeight="1">
      <c r="A5" s="14" t="s">
        <v>8</v>
      </c>
      <c r="B5" s="15">
        <v>90</v>
      </c>
      <c r="C5" s="11">
        <f>C4</f>
        <v>0</v>
      </c>
      <c r="D5" s="56">
        <v>0</v>
      </c>
      <c r="E5" s="57">
        <f>B5*C5*5.5%/360</f>
        <v>0</v>
      </c>
      <c r="F5" s="58">
        <v>0</v>
      </c>
      <c r="G5" s="58">
        <f>E4+E5</f>
        <v>0</v>
      </c>
    </row>
    <row r="6" spans="1:36" s="2" customFormat="1" ht="15">
      <c r="A6" s="17" t="s">
        <v>9</v>
      </c>
      <c r="B6" s="18">
        <v>90</v>
      </c>
      <c r="C6" s="11">
        <f>C5-D5</f>
        <v>0</v>
      </c>
      <c r="D6" s="56">
        <v>0</v>
      </c>
      <c r="E6" s="57">
        <f>B6*C6*5.5%/360</f>
        <v>0</v>
      </c>
      <c r="F6" s="59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5">
      <c r="A7" s="9" t="s">
        <v>10</v>
      </c>
      <c r="B7" s="20">
        <v>90</v>
      </c>
      <c r="C7" s="11">
        <f>C6-D6</f>
        <v>0</v>
      </c>
      <c r="D7" s="56">
        <v>0</v>
      </c>
      <c r="E7" s="57">
        <f>B7*C7*5.5%/360</f>
        <v>0</v>
      </c>
      <c r="F7" s="57"/>
      <c r="G7" s="57"/>
    </row>
    <row r="8" spans="1:36" ht="15">
      <c r="A8" s="9" t="s">
        <v>11</v>
      </c>
      <c r="B8" s="10">
        <v>90</v>
      </c>
      <c r="C8" s="11">
        <f>C7-D7</f>
        <v>0</v>
      </c>
      <c r="D8" s="56">
        <v>0</v>
      </c>
      <c r="E8" s="57">
        <f>B8*C8*5.5%/360</f>
        <v>0</v>
      </c>
      <c r="F8" s="57"/>
      <c r="G8" s="57"/>
    </row>
    <row r="9" spans="1:36" ht="15">
      <c r="A9" s="14" t="s">
        <v>12</v>
      </c>
      <c r="B9" s="22">
        <v>90</v>
      </c>
      <c r="C9" s="11">
        <f>WPF!I53</f>
        <v>5000000</v>
      </c>
      <c r="D9" s="56">
        <v>0</v>
      </c>
      <c r="E9"/>
      <c r="F9" s="58">
        <f>D7+D8+D9</f>
        <v>0</v>
      </c>
      <c r="G9" s="58"/>
    </row>
    <row r="10" spans="1:36" ht="15">
      <c r="A10" s="17" t="s">
        <v>13</v>
      </c>
      <c r="B10" s="23">
        <v>90</v>
      </c>
      <c r="C10" s="11">
        <f>C9-D9</f>
        <v>5000000</v>
      </c>
      <c r="D10" s="56">
        <v>50000</v>
      </c>
      <c r="E10" s="57">
        <f>B10*C10*0.07/360</f>
        <v>87500.000000000015</v>
      </c>
      <c r="F10" s="59"/>
      <c r="G10" s="59"/>
    </row>
    <row r="11" spans="1:36" ht="15">
      <c r="A11" s="9" t="s">
        <v>14</v>
      </c>
      <c r="B11" s="10">
        <v>90</v>
      </c>
      <c r="C11" s="11">
        <f t="shared" ref="C11:C44" si="0">C10-D10</f>
        <v>4950000</v>
      </c>
      <c r="D11" s="56">
        <v>50000</v>
      </c>
      <c r="E11" s="57">
        <f t="shared" ref="E11:E41" si="1">B11*C11*0.07/360</f>
        <v>86625.000000000015</v>
      </c>
      <c r="F11" s="57"/>
      <c r="G11" s="57"/>
    </row>
    <row r="12" spans="1:36" ht="15">
      <c r="A12" s="9" t="s">
        <v>15</v>
      </c>
      <c r="B12" s="10">
        <v>90</v>
      </c>
      <c r="C12" s="11">
        <f t="shared" si="0"/>
        <v>4900000</v>
      </c>
      <c r="D12" s="56">
        <v>50000</v>
      </c>
      <c r="E12" s="57">
        <f t="shared" si="1"/>
        <v>85750.000000000015</v>
      </c>
      <c r="F12" s="57"/>
      <c r="G12" s="57"/>
    </row>
    <row r="13" spans="1:36" ht="15">
      <c r="A13" s="14" t="s">
        <v>16</v>
      </c>
      <c r="B13" s="22">
        <v>90</v>
      </c>
      <c r="C13" s="11">
        <f t="shared" si="0"/>
        <v>4850000</v>
      </c>
      <c r="D13" s="56">
        <v>50000</v>
      </c>
      <c r="E13" s="57">
        <f t="shared" si="1"/>
        <v>84875.000000000015</v>
      </c>
      <c r="F13" s="61">
        <f>SUM(D10:D13)</f>
        <v>200000</v>
      </c>
      <c r="G13" s="61">
        <f>SUM(E10:E13)</f>
        <v>344750.00000000006</v>
      </c>
    </row>
    <row r="14" spans="1:36" ht="15">
      <c r="A14" s="17" t="s">
        <v>17</v>
      </c>
      <c r="B14" s="23">
        <v>90</v>
      </c>
      <c r="C14" s="11">
        <f t="shared" si="0"/>
        <v>4800000</v>
      </c>
      <c r="D14" s="56"/>
      <c r="E14" s="57">
        <f t="shared" si="1"/>
        <v>84000.000000000015</v>
      </c>
      <c r="F14" s="62"/>
      <c r="G14" s="62"/>
    </row>
    <row r="15" spans="1:36" ht="15">
      <c r="A15" s="9" t="s">
        <v>18</v>
      </c>
      <c r="B15" s="10">
        <v>90</v>
      </c>
      <c r="C15" s="11">
        <f t="shared" si="0"/>
        <v>4800000</v>
      </c>
      <c r="D15" s="56"/>
      <c r="E15" s="57">
        <f t="shared" si="1"/>
        <v>84000.000000000015</v>
      </c>
      <c r="F15" s="57"/>
      <c r="G15" s="57"/>
    </row>
    <row r="16" spans="1:36" ht="15">
      <c r="A16" s="9" t="s">
        <v>19</v>
      </c>
      <c r="B16" s="10">
        <v>90</v>
      </c>
      <c r="C16" s="11">
        <f t="shared" si="0"/>
        <v>4800000</v>
      </c>
      <c r="D16" s="56"/>
      <c r="E16" s="57">
        <f t="shared" si="1"/>
        <v>84000.000000000015</v>
      </c>
      <c r="F16" s="57"/>
      <c r="G16" s="57"/>
    </row>
    <row r="17" spans="1:36" ht="15">
      <c r="A17" s="14" t="s">
        <v>20</v>
      </c>
      <c r="B17" s="22">
        <v>90</v>
      </c>
      <c r="C17" s="11">
        <f t="shared" si="0"/>
        <v>4800000</v>
      </c>
      <c r="D17" s="56">
        <v>50000</v>
      </c>
      <c r="E17" s="57">
        <f t="shared" si="1"/>
        <v>84000.000000000015</v>
      </c>
      <c r="F17" s="61">
        <f>SUM(D14:D17)</f>
        <v>50000</v>
      </c>
      <c r="G17" s="61">
        <f>SUM(E14:E17)</f>
        <v>336000.00000000006</v>
      </c>
    </row>
    <row r="18" spans="1:36" ht="15">
      <c r="A18" s="17" t="s">
        <v>21</v>
      </c>
      <c r="B18" s="23">
        <v>90</v>
      </c>
      <c r="C18" s="11">
        <f t="shared" si="0"/>
        <v>4750000</v>
      </c>
      <c r="D18" s="56">
        <f>D17</f>
        <v>50000</v>
      </c>
      <c r="E18" s="57">
        <f t="shared" si="1"/>
        <v>83125.000000000015</v>
      </c>
      <c r="F18" s="62"/>
      <c r="G18" s="62"/>
    </row>
    <row r="19" spans="1:36" ht="15">
      <c r="A19" s="9" t="s">
        <v>22</v>
      </c>
      <c r="B19" s="10">
        <v>90</v>
      </c>
      <c r="C19" s="11">
        <f t="shared" si="0"/>
        <v>4700000</v>
      </c>
      <c r="D19" s="56"/>
      <c r="E19" s="57">
        <f t="shared" si="1"/>
        <v>82250.000000000015</v>
      </c>
      <c r="F19" s="57"/>
      <c r="G19" s="57"/>
    </row>
    <row r="20" spans="1:36" s="30" customFormat="1" ht="15">
      <c r="A20" s="26" t="s">
        <v>23</v>
      </c>
      <c r="B20" s="27">
        <v>90</v>
      </c>
      <c r="C20" s="11">
        <f t="shared" si="0"/>
        <v>4700000</v>
      </c>
      <c r="D20" s="56"/>
      <c r="E20" s="57">
        <f t="shared" si="1"/>
        <v>82250.000000000015</v>
      </c>
      <c r="F20" s="63"/>
      <c r="G20" s="6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30" customFormat="1" ht="15">
      <c r="A21" s="31" t="s">
        <v>24</v>
      </c>
      <c r="B21" s="32">
        <v>90</v>
      </c>
      <c r="C21" s="11">
        <f t="shared" si="0"/>
        <v>4700000</v>
      </c>
      <c r="D21" s="64"/>
      <c r="E21" s="57">
        <f t="shared" si="1"/>
        <v>82250.000000000015</v>
      </c>
      <c r="F21" s="65">
        <f>SUM(D18:D21)</f>
        <v>50000</v>
      </c>
      <c r="G21" s="65">
        <f>SUM(E18:E21)</f>
        <v>329875.00000000006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15">
      <c r="A22" s="17" t="s">
        <v>25</v>
      </c>
      <c r="B22" s="20">
        <v>90</v>
      </c>
      <c r="C22" s="11">
        <f t="shared" si="0"/>
        <v>4700000</v>
      </c>
      <c r="D22" s="64">
        <v>50000</v>
      </c>
      <c r="E22" s="57">
        <f t="shared" si="1"/>
        <v>82250.000000000015</v>
      </c>
      <c r="F22" s="59"/>
      <c r="G22" s="59"/>
    </row>
    <row r="23" spans="1:36" ht="15">
      <c r="A23" s="9" t="s">
        <v>26</v>
      </c>
      <c r="B23" s="20">
        <v>90</v>
      </c>
      <c r="C23" s="11">
        <f t="shared" si="0"/>
        <v>4650000</v>
      </c>
      <c r="D23" s="64"/>
      <c r="E23" s="57">
        <f t="shared" si="1"/>
        <v>81375.000000000015</v>
      </c>
      <c r="F23" s="57"/>
      <c r="G23" s="57"/>
    </row>
    <row r="24" spans="1:36" ht="15">
      <c r="A24" s="9" t="s">
        <v>27</v>
      </c>
      <c r="B24" s="20">
        <v>90</v>
      </c>
      <c r="C24" s="11">
        <f t="shared" si="0"/>
        <v>4650000</v>
      </c>
      <c r="D24" s="56"/>
      <c r="E24" s="57">
        <f t="shared" si="1"/>
        <v>81375.000000000015</v>
      </c>
      <c r="F24" s="57"/>
      <c r="G24" s="57"/>
    </row>
    <row r="25" spans="1:36" ht="15">
      <c r="A25" s="14" t="s">
        <v>28</v>
      </c>
      <c r="B25" s="22">
        <v>90</v>
      </c>
      <c r="C25" s="11">
        <f t="shared" si="0"/>
        <v>4650000</v>
      </c>
      <c r="D25" s="56"/>
      <c r="E25" s="57">
        <f t="shared" si="1"/>
        <v>81375.000000000015</v>
      </c>
      <c r="F25" s="58">
        <f>SUM(D22:D25)</f>
        <v>50000</v>
      </c>
      <c r="G25" s="58">
        <f>SUM(E22:E25)</f>
        <v>326375.00000000006</v>
      </c>
    </row>
    <row r="26" spans="1:36" s="30" customFormat="1" ht="15">
      <c r="A26" s="35" t="s">
        <v>29</v>
      </c>
      <c r="B26" s="36">
        <v>90</v>
      </c>
      <c r="C26" s="11">
        <f t="shared" si="0"/>
        <v>4650000</v>
      </c>
      <c r="D26" s="64">
        <v>50000</v>
      </c>
      <c r="E26" s="57">
        <f t="shared" si="1"/>
        <v>81375.000000000015</v>
      </c>
      <c r="F26" s="66"/>
      <c r="G26" s="6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s="30" customFormat="1" ht="15">
      <c r="A27" s="26" t="s">
        <v>30</v>
      </c>
      <c r="B27" s="27">
        <v>90</v>
      </c>
      <c r="C27" s="11">
        <f t="shared" si="0"/>
        <v>4600000</v>
      </c>
      <c r="D27" s="64"/>
      <c r="E27" s="57">
        <f t="shared" si="1"/>
        <v>80500.000000000015</v>
      </c>
      <c r="F27" s="63"/>
      <c r="G27" s="6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s="30" customFormat="1" ht="15">
      <c r="A28" s="26" t="s">
        <v>31</v>
      </c>
      <c r="B28" s="27">
        <v>90</v>
      </c>
      <c r="C28" s="11">
        <f t="shared" si="0"/>
        <v>4600000</v>
      </c>
      <c r="D28" s="64"/>
      <c r="E28" s="57">
        <f t="shared" si="1"/>
        <v>80500.000000000015</v>
      </c>
      <c r="F28" s="63"/>
      <c r="G28" s="6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s="30" customFormat="1" ht="15">
      <c r="A29" s="31" t="s">
        <v>32</v>
      </c>
      <c r="B29" s="41">
        <v>90</v>
      </c>
      <c r="C29" s="11">
        <f t="shared" si="0"/>
        <v>4600000</v>
      </c>
      <c r="D29" s="64"/>
      <c r="E29" s="57">
        <f t="shared" si="1"/>
        <v>80500.000000000015</v>
      </c>
      <c r="F29" s="67">
        <f>SUM(D26:D29)</f>
        <v>50000</v>
      </c>
      <c r="G29" s="67">
        <f>SUM(E26:E29)</f>
        <v>322875.00000000006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15">
      <c r="A30" s="17" t="s">
        <v>33</v>
      </c>
      <c r="B30" s="44">
        <v>90</v>
      </c>
      <c r="C30" s="11">
        <f t="shared" si="0"/>
        <v>4600000</v>
      </c>
      <c r="D30" s="56"/>
      <c r="E30" s="57">
        <f t="shared" si="1"/>
        <v>80500.000000000015</v>
      </c>
      <c r="F30" s="59"/>
      <c r="G30" s="59"/>
      <c r="H30" s="50">
        <v>333333</v>
      </c>
    </row>
    <row r="31" spans="1:36" ht="15">
      <c r="A31" s="9" t="s">
        <v>34</v>
      </c>
      <c r="B31" s="10">
        <v>90</v>
      </c>
      <c r="C31" s="11">
        <f t="shared" si="0"/>
        <v>4600000</v>
      </c>
      <c r="D31" s="64"/>
      <c r="E31" s="57">
        <f t="shared" si="1"/>
        <v>80500.000000000015</v>
      </c>
      <c r="F31" s="57"/>
      <c r="G31" s="57"/>
    </row>
    <row r="32" spans="1:36" ht="15">
      <c r="A32" s="9" t="s">
        <v>35</v>
      </c>
      <c r="B32" s="10">
        <v>90</v>
      </c>
      <c r="C32" s="11">
        <f t="shared" si="0"/>
        <v>4600000</v>
      </c>
      <c r="D32" s="64">
        <v>333332</v>
      </c>
      <c r="E32" s="57">
        <f t="shared" si="1"/>
        <v>80500.000000000015</v>
      </c>
      <c r="F32" s="57"/>
      <c r="G32" s="57"/>
    </row>
    <row r="33" spans="1:36" ht="15">
      <c r="A33" s="68" t="s">
        <v>36</v>
      </c>
      <c r="B33" s="23">
        <v>90</v>
      </c>
      <c r="C33" s="69">
        <f t="shared" si="0"/>
        <v>4266668</v>
      </c>
      <c r="D33" s="64"/>
      <c r="E33" s="70">
        <f t="shared" si="1"/>
        <v>74666.69</v>
      </c>
      <c r="F33" s="70">
        <f>SUM(D30:D33)</f>
        <v>333332</v>
      </c>
      <c r="G33" s="70">
        <f>SUM(E30:E33)</f>
        <v>316166.69000000006</v>
      </c>
    </row>
    <row r="34" spans="1:36" s="30" customFormat="1" ht="15">
      <c r="A34" s="71" t="s">
        <v>37</v>
      </c>
      <c r="B34" s="72">
        <v>90</v>
      </c>
      <c r="C34" s="73">
        <f t="shared" si="0"/>
        <v>4266668</v>
      </c>
      <c r="D34" s="74">
        <v>250000</v>
      </c>
      <c r="E34" s="75">
        <f t="shared" si="1"/>
        <v>74666.69</v>
      </c>
      <c r="F34" s="76"/>
      <c r="G34" s="76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s="30" customFormat="1" ht="15">
      <c r="A35" s="26" t="s">
        <v>38</v>
      </c>
      <c r="B35" s="27">
        <v>90</v>
      </c>
      <c r="C35" s="11">
        <f t="shared" si="0"/>
        <v>4016668</v>
      </c>
      <c r="D35" s="64">
        <f>D34</f>
        <v>250000</v>
      </c>
      <c r="E35" s="57">
        <f t="shared" si="1"/>
        <v>70291.69</v>
      </c>
      <c r="F35" s="63"/>
      <c r="G35" s="6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s="30" customFormat="1" ht="15">
      <c r="A36" s="26" t="s">
        <v>39</v>
      </c>
      <c r="B36" s="27">
        <v>90</v>
      </c>
      <c r="C36" s="11">
        <f t="shared" si="0"/>
        <v>3766668</v>
      </c>
      <c r="D36" s="64">
        <v>500000</v>
      </c>
      <c r="E36" s="57">
        <f t="shared" si="1"/>
        <v>65916.69</v>
      </c>
      <c r="F36" s="63"/>
      <c r="G36" s="6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s="30" customFormat="1" ht="15">
      <c r="A37" s="31" t="s">
        <v>40</v>
      </c>
      <c r="B37" s="41">
        <v>90</v>
      </c>
      <c r="C37" s="34">
        <f t="shared" si="0"/>
        <v>3266668</v>
      </c>
      <c r="D37" s="77">
        <v>333332</v>
      </c>
      <c r="E37" s="58">
        <f t="shared" si="1"/>
        <v>57166.69000000001</v>
      </c>
      <c r="F37" s="67">
        <f>SUM(D34:D37)</f>
        <v>1333332</v>
      </c>
      <c r="G37" s="67">
        <f>SUM(E34:E37)</f>
        <v>268041.76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15">
      <c r="A38" s="17" t="s">
        <v>41</v>
      </c>
      <c r="B38" s="44">
        <v>90</v>
      </c>
      <c r="C38" s="45">
        <f t="shared" si="0"/>
        <v>2933336</v>
      </c>
      <c r="D38" s="56">
        <f>D37</f>
        <v>333332</v>
      </c>
      <c r="E38" s="59">
        <f t="shared" si="1"/>
        <v>51333.380000000005</v>
      </c>
      <c r="F38" s="59"/>
      <c r="G38" s="59"/>
    </row>
    <row r="39" spans="1:36" ht="15">
      <c r="A39" s="9" t="s">
        <v>42</v>
      </c>
      <c r="B39" s="10">
        <v>90</v>
      </c>
      <c r="C39" s="11">
        <f t="shared" si="0"/>
        <v>2600004</v>
      </c>
      <c r="D39" s="56">
        <f>D38</f>
        <v>333332</v>
      </c>
      <c r="E39" s="57">
        <f t="shared" si="1"/>
        <v>45500.07</v>
      </c>
      <c r="F39" s="57"/>
      <c r="G39" s="57"/>
    </row>
    <row r="40" spans="1:36" ht="15">
      <c r="A40" s="9" t="s">
        <v>43</v>
      </c>
      <c r="B40" s="10">
        <v>90</v>
      </c>
      <c r="C40" s="11">
        <f t="shared" si="0"/>
        <v>2266672</v>
      </c>
      <c r="D40" s="56">
        <f>D39</f>
        <v>333332</v>
      </c>
      <c r="E40" s="57">
        <f t="shared" si="1"/>
        <v>39666.76</v>
      </c>
      <c r="F40" s="57"/>
      <c r="G40" s="57"/>
    </row>
    <row r="41" spans="1:36" ht="15">
      <c r="A41" s="14" t="s">
        <v>44</v>
      </c>
      <c r="B41" s="15">
        <v>90</v>
      </c>
      <c r="C41" s="11">
        <f t="shared" si="0"/>
        <v>1933340</v>
      </c>
      <c r="D41" s="78">
        <v>333340</v>
      </c>
      <c r="E41" s="57">
        <f t="shared" si="1"/>
        <v>33833.450000000004</v>
      </c>
      <c r="F41" s="58">
        <f>SUM(D38:D41)</f>
        <v>1333336</v>
      </c>
      <c r="G41" s="58">
        <f>SUM(E38:E41)</f>
        <v>170333.66000000003</v>
      </c>
    </row>
    <row r="42" spans="1:36" ht="15">
      <c r="A42" s="17" t="s">
        <v>45</v>
      </c>
      <c r="B42" s="44">
        <v>90</v>
      </c>
      <c r="C42" s="11">
        <f t="shared" si="0"/>
        <v>1600000</v>
      </c>
      <c r="D42" s="56">
        <v>300000</v>
      </c>
      <c r="E42" s="57">
        <f>B42*C42*0.07/360</f>
        <v>28000.000000000004</v>
      </c>
      <c r="F42" s="59"/>
      <c r="G42" s="59"/>
    </row>
    <row r="43" spans="1:36" ht="15">
      <c r="A43" s="9" t="s">
        <v>46</v>
      </c>
      <c r="B43" s="10">
        <v>90</v>
      </c>
      <c r="C43" s="11">
        <f t="shared" si="0"/>
        <v>1300000</v>
      </c>
      <c r="D43" s="56">
        <v>600000</v>
      </c>
      <c r="E43" s="57">
        <f>B43*C43*0.07/360</f>
        <v>22750.000000000004</v>
      </c>
      <c r="F43" s="57"/>
      <c r="G43" s="57"/>
    </row>
    <row r="44" spans="1:36" ht="15">
      <c r="A44" s="9" t="s">
        <v>47</v>
      </c>
      <c r="B44" s="10">
        <v>90</v>
      </c>
      <c r="C44" s="11">
        <f t="shared" si="0"/>
        <v>700000</v>
      </c>
      <c r="D44" s="56">
        <v>400000</v>
      </c>
      <c r="E44" s="57">
        <f>B44*C44*0.07/360</f>
        <v>12250</v>
      </c>
      <c r="F44" s="57"/>
      <c r="G44" s="57"/>
    </row>
    <row r="45" spans="1:36" ht="15">
      <c r="A45" s="14" t="s">
        <v>48</v>
      </c>
      <c r="B45" s="15">
        <v>90</v>
      </c>
      <c r="C45" s="11">
        <f>C44-D44</f>
        <v>300000</v>
      </c>
      <c r="D45" s="78">
        <v>300000</v>
      </c>
      <c r="E45" s="57">
        <f>B45*C45*0.07/360</f>
        <v>5250.0000000000009</v>
      </c>
      <c r="F45" s="58">
        <f>SUM(D42:D45)</f>
        <v>1600000</v>
      </c>
      <c r="G45" s="58">
        <f>SUM(E42:E45)</f>
        <v>68250.000000000015</v>
      </c>
      <c r="H45" s="79">
        <f>SUM(F13:F45)</f>
        <v>5000000</v>
      </c>
    </row>
    <row r="46" spans="1:36">
      <c r="D46" s="21">
        <f>SUM(D10:D45)</f>
        <v>5000000</v>
      </c>
    </row>
  </sheetData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topLeftCell="I66" zoomScale="75" zoomScaleNormal="90" zoomScaleSheetLayoutView="75" workbookViewId="0">
      <selection activeCell="U79" sqref="U78:U79"/>
    </sheetView>
  </sheetViews>
  <sheetFormatPr defaultColWidth="11.5703125" defaultRowHeight="12.75"/>
  <cols>
    <col min="1" max="1" width="4" customWidth="1"/>
    <col min="2" max="2" width="6.85546875" customWidth="1"/>
    <col min="3" max="3" width="46.42578125" style="80" customWidth="1"/>
    <col min="4" max="4" width="14.42578125" style="80" customWidth="1"/>
    <col min="5" max="5" width="14.28515625" customWidth="1"/>
    <col min="6" max="6" width="14.85546875" customWidth="1"/>
    <col min="7" max="7" width="13.42578125" style="80" customWidth="1"/>
    <col min="8" max="8" width="14.5703125" customWidth="1"/>
    <col min="9" max="9" width="14.28515625" customWidth="1"/>
    <col min="10" max="10" width="14.42578125" customWidth="1"/>
    <col min="11" max="11" width="14.28515625" customWidth="1"/>
    <col min="12" max="12" width="13" customWidth="1"/>
    <col min="13" max="13" width="15.28515625" customWidth="1"/>
    <col min="14" max="14" width="14.85546875" customWidth="1"/>
    <col min="15" max="15" width="14.7109375" customWidth="1"/>
    <col min="16" max="16" width="14.85546875" customWidth="1"/>
    <col min="17" max="18" width="15.7109375" customWidth="1"/>
  </cols>
  <sheetData>
    <row r="1" spans="1:18" ht="20.100000000000001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3"/>
      <c r="O1" s="115" t="s">
        <v>50</v>
      </c>
      <c r="P1" s="115"/>
      <c r="Q1" s="116"/>
      <c r="R1" s="116"/>
    </row>
    <row r="2" spans="1:18" ht="3.75" customHeigh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8"/>
      <c r="O2" s="120"/>
      <c r="P2" s="121"/>
      <c r="Q2" s="118"/>
      <c r="R2" s="118"/>
    </row>
    <row r="3" spans="1:18" ht="12.75" customHeight="1">
      <c r="A3" s="122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3"/>
      <c r="O3" s="125" t="s">
        <v>238</v>
      </c>
      <c r="P3" s="121"/>
      <c r="Q3" s="123"/>
      <c r="R3" s="123"/>
    </row>
    <row r="4" spans="1:18" ht="16.5" customHeight="1">
      <c r="A4" s="122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123"/>
      <c r="O4" s="125" t="s">
        <v>51</v>
      </c>
      <c r="P4" s="121"/>
      <c r="Q4" s="123"/>
      <c r="R4" s="123"/>
    </row>
    <row r="5" spans="1:18" ht="12" customHeight="1">
      <c r="A5" s="122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23"/>
      <c r="O5" s="125" t="s">
        <v>239</v>
      </c>
      <c r="P5" s="121"/>
      <c r="Q5" s="123"/>
      <c r="R5" s="123"/>
    </row>
    <row r="6" spans="1:18" ht="20.100000000000001" customHeight="1">
      <c r="A6" s="425" t="s">
        <v>250</v>
      </c>
      <c r="B6" s="425"/>
      <c r="C6" s="425" t="s">
        <v>53</v>
      </c>
      <c r="D6" s="425" t="s">
        <v>54</v>
      </c>
      <c r="E6" s="425" t="s">
        <v>52</v>
      </c>
      <c r="F6" s="425" t="s">
        <v>55</v>
      </c>
      <c r="G6" s="425" t="s">
        <v>56</v>
      </c>
      <c r="H6" s="425" t="s">
        <v>57</v>
      </c>
      <c r="I6" s="425" t="s">
        <v>58</v>
      </c>
      <c r="J6" s="425" t="s">
        <v>59</v>
      </c>
      <c r="K6" s="425" t="s">
        <v>60</v>
      </c>
      <c r="L6" s="425" t="s">
        <v>61</v>
      </c>
      <c r="M6" s="425" t="s">
        <v>62</v>
      </c>
      <c r="N6" s="425" t="s">
        <v>63</v>
      </c>
      <c r="O6" s="425" t="s">
        <v>64</v>
      </c>
      <c r="P6" s="126"/>
      <c r="Q6" s="126"/>
      <c r="R6" s="127"/>
    </row>
    <row r="7" spans="1:18" ht="20.100000000000001" customHeight="1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126"/>
      <c r="Q7" s="126"/>
      <c r="R7" s="127"/>
    </row>
    <row r="8" spans="1:18" ht="20.100000000000001" customHeight="1" thickBot="1">
      <c r="A8" s="425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128"/>
      <c r="Q8" s="128"/>
      <c r="R8" s="129"/>
    </row>
    <row r="9" spans="1:18" ht="17.100000000000001" customHeight="1" thickBot="1">
      <c r="A9" s="450" t="s">
        <v>65</v>
      </c>
      <c r="B9" s="455" t="s">
        <v>66</v>
      </c>
      <c r="C9" s="456"/>
      <c r="D9" s="426" t="s">
        <v>67</v>
      </c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54"/>
    </row>
    <row r="10" spans="1:18" ht="17.100000000000001" customHeight="1" thickBot="1">
      <c r="A10" s="461"/>
      <c r="B10" s="457"/>
      <c r="C10" s="458"/>
      <c r="D10" s="426" t="s">
        <v>68</v>
      </c>
      <c r="E10" s="427"/>
      <c r="F10" s="427"/>
      <c r="G10" s="454"/>
      <c r="H10" s="426" t="s">
        <v>69</v>
      </c>
      <c r="I10" s="427"/>
      <c r="J10" s="427"/>
      <c r="K10" s="427"/>
      <c r="L10" s="427"/>
      <c r="M10" s="427"/>
      <c r="N10" s="427"/>
      <c r="O10" s="427"/>
      <c r="P10" s="427"/>
      <c r="Q10" s="427"/>
      <c r="R10" s="454"/>
    </row>
    <row r="11" spans="1:18" ht="18" customHeight="1">
      <c r="A11" s="461"/>
      <c r="B11" s="457"/>
      <c r="C11" s="458"/>
      <c r="D11" s="450">
        <v>2007</v>
      </c>
      <c r="E11" s="450">
        <v>2008</v>
      </c>
      <c r="F11" s="464">
        <v>2009</v>
      </c>
      <c r="G11" s="462">
        <v>2010</v>
      </c>
      <c r="H11" s="464">
        <v>2011</v>
      </c>
      <c r="I11" s="450">
        <v>2012</v>
      </c>
      <c r="J11" s="450">
        <v>2013</v>
      </c>
      <c r="K11" s="450">
        <v>2014</v>
      </c>
      <c r="L11" s="450">
        <v>2015</v>
      </c>
      <c r="M11" s="450">
        <v>2016</v>
      </c>
      <c r="N11" s="450">
        <v>2017</v>
      </c>
      <c r="O11" s="450">
        <v>2018</v>
      </c>
      <c r="P11" s="450">
        <v>2019</v>
      </c>
      <c r="Q11" s="450">
        <v>2020</v>
      </c>
      <c r="R11" s="450">
        <v>2021</v>
      </c>
    </row>
    <row r="12" spans="1:18" ht="14.25" customHeight="1" thickBot="1">
      <c r="A12" s="451"/>
      <c r="B12" s="459"/>
      <c r="C12" s="460"/>
      <c r="D12" s="451"/>
      <c r="E12" s="451"/>
      <c r="F12" s="465"/>
      <c r="G12" s="463"/>
      <c r="H12" s="465"/>
      <c r="I12" s="451"/>
      <c r="J12" s="451"/>
      <c r="K12" s="451"/>
      <c r="L12" s="451"/>
      <c r="M12" s="451"/>
      <c r="N12" s="451"/>
      <c r="O12" s="451"/>
      <c r="P12" s="451"/>
      <c r="Q12" s="451"/>
      <c r="R12" s="451"/>
    </row>
    <row r="13" spans="1:18" s="81" customFormat="1" ht="19.5" customHeight="1">
      <c r="A13" s="140">
        <v>1</v>
      </c>
      <c r="B13" s="437" t="s">
        <v>70</v>
      </c>
      <c r="C13" s="437"/>
      <c r="D13" s="141">
        <f t="shared" ref="D13:I13" si="0">D14+D15</f>
        <v>75196615</v>
      </c>
      <c r="E13" s="141">
        <f t="shared" si="0"/>
        <v>80916668</v>
      </c>
      <c r="F13" s="141">
        <f t="shared" si="0"/>
        <v>81699693</v>
      </c>
      <c r="G13" s="142">
        <f t="shared" si="0"/>
        <v>85095905</v>
      </c>
      <c r="H13" s="141">
        <f t="shared" si="0"/>
        <v>123790439</v>
      </c>
      <c r="I13" s="141">
        <f t="shared" si="0"/>
        <v>154936943</v>
      </c>
      <c r="J13" s="141">
        <f>J14+J15</f>
        <v>121885333</v>
      </c>
      <c r="K13" s="141">
        <f>K14+K15</f>
        <v>107829336</v>
      </c>
      <c r="L13" s="141">
        <f>L14+L15</f>
        <v>99758339</v>
      </c>
      <c r="M13" s="141">
        <f t="shared" ref="M13:R13" si="1">M14+M15</f>
        <v>113848430</v>
      </c>
      <c r="N13" s="141">
        <f t="shared" si="1"/>
        <v>118106216</v>
      </c>
      <c r="O13" s="141">
        <f t="shared" si="1"/>
        <v>112538571</v>
      </c>
      <c r="P13" s="141">
        <f t="shared" si="1"/>
        <v>117152653</v>
      </c>
      <c r="Q13" s="143">
        <f t="shared" si="1"/>
        <v>120470491</v>
      </c>
      <c r="R13" s="144">
        <f t="shared" si="1"/>
        <v>131563196</v>
      </c>
    </row>
    <row r="14" spans="1:18" ht="19.5" customHeight="1">
      <c r="A14" s="145" t="s">
        <v>71</v>
      </c>
      <c r="B14" s="436" t="s">
        <v>72</v>
      </c>
      <c r="C14" s="436"/>
      <c r="D14" s="146">
        <v>74779347</v>
      </c>
      <c r="E14" s="147">
        <v>80901768</v>
      </c>
      <c r="F14" s="147">
        <v>80665439</v>
      </c>
      <c r="G14" s="148">
        <v>84339995</v>
      </c>
      <c r="H14" s="149">
        <v>85341352</v>
      </c>
      <c r="I14" s="147">
        <v>89803585</v>
      </c>
      <c r="J14" s="147">
        <v>93052832</v>
      </c>
      <c r="K14" s="149">
        <v>95829336</v>
      </c>
      <c r="L14" s="147">
        <v>99758339</v>
      </c>
      <c r="M14" s="147">
        <v>103848430</v>
      </c>
      <c r="N14" s="147">
        <v>108106216</v>
      </c>
      <c r="O14" s="147">
        <v>112538571</v>
      </c>
      <c r="P14" s="147">
        <v>117152653</v>
      </c>
      <c r="Q14" s="150">
        <v>115470491</v>
      </c>
      <c r="R14" s="147">
        <v>126563196</v>
      </c>
    </row>
    <row r="15" spans="1:18" ht="19.5" customHeight="1">
      <c r="A15" s="145" t="s">
        <v>73</v>
      </c>
      <c r="B15" s="436" t="s">
        <v>74</v>
      </c>
      <c r="C15" s="436"/>
      <c r="D15" s="146">
        <v>417268</v>
      </c>
      <c r="E15" s="147">
        <v>14900</v>
      </c>
      <c r="F15" s="147">
        <v>1034254</v>
      </c>
      <c r="G15" s="148">
        <v>755910</v>
      </c>
      <c r="H15" s="149">
        <v>38449087</v>
      </c>
      <c r="I15" s="147">
        <v>65133358</v>
      </c>
      <c r="J15" s="147">
        <v>28832501</v>
      </c>
      <c r="K15" s="149">
        <v>12000000</v>
      </c>
      <c r="L15" s="147">
        <f>L16</f>
        <v>0</v>
      </c>
      <c r="M15" s="147">
        <f>M16</f>
        <v>10000000</v>
      </c>
      <c r="N15" s="147">
        <f>N16</f>
        <v>10000000</v>
      </c>
      <c r="O15" s="147"/>
      <c r="P15" s="147">
        <f>P16</f>
        <v>0</v>
      </c>
      <c r="Q15" s="150">
        <f>Q16</f>
        <v>5000000</v>
      </c>
      <c r="R15" s="151">
        <f>R16</f>
        <v>5000000</v>
      </c>
    </row>
    <row r="16" spans="1:18" ht="20.25" customHeight="1">
      <c r="A16" s="145" t="s">
        <v>75</v>
      </c>
      <c r="B16" s="180" t="s">
        <v>76</v>
      </c>
      <c r="C16" s="233" t="s">
        <v>77</v>
      </c>
      <c r="D16" s="146">
        <v>0</v>
      </c>
      <c r="E16" s="147">
        <v>0</v>
      </c>
      <c r="F16" s="147">
        <v>197354</v>
      </c>
      <c r="G16" s="148">
        <v>255910</v>
      </c>
      <c r="H16" s="149">
        <v>13500000</v>
      </c>
      <c r="I16" s="149">
        <v>19500000</v>
      </c>
      <c r="J16" s="149">
        <v>10000000</v>
      </c>
      <c r="K16" s="149">
        <v>0</v>
      </c>
      <c r="L16" s="149"/>
      <c r="M16" s="149">
        <v>10000000</v>
      </c>
      <c r="N16" s="149">
        <v>10000000</v>
      </c>
      <c r="O16" s="149"/>
      <c r="P16" s="149">
        <v>0</v>
      </c>
      <c r="Q16" s="153">
        <v>5000000</v>
      </c>
      <c r="R16" s="154">
        <v>5000000</v>
      </c>
    </row>
    <row r="17" spans="1:19" ht="54.75" customHeight="1">
      <c r="A17" s="155">
        <v>2</v>
      </c>
      <c r="B17" s="452" t="s">
        <v>78</v>
      </c>
      <c r="C17" s="452"/>
      <c r="D17" s="156">
        <v>54819832</v>
      </c>
      <c r="E17" s="156">
        <v>63400831</v>
      </c>
      <c r="F17" s="156">
        <v>71551205</v>
      </c>
      <c r="G17" s="157">
        <v>76029699</v>
      </c>
      <c r="H17" s="156">
        <v>78471776</v>
      </c>
      <c r="I17" s="156">
        <v>80084805</v>
      </c>
      <c r="J17" s="156">
        <v>83288730</v>
      </c>
      <c r="K17" s="156">
        <v>85870732</v>
      </c>
      <c r="L17" s="156">
        <v>91730708</v>
      </c>
      <c r="M17" s="156">
        <v>95802368</v>
      </c>
      <c r="N17" s="156">
        <v>99486165</v>
      </c>
      <c r="O17" s="156">
        <v>104609222</v>
      </c>
      <c r="P17" s="156">
        <v>108492957</v>
      </c>
      <c r="Q17" s="158">
        <v>107259482</v>
      </c>
      <c r="R17" s="159">
        <v>117939185</v>
      </c>
    </row>
    <row r="18" spans="1:19" ht="25.5" customHeight="1">
      <c r="A18" s="145" t="s">
        <v>71</v>
      </c>
      <c r="B18" s="453" t="s">
        <v>76</v>
      </c>
      <c r="C18" s="152" t="s">
        <v>79</v>
      </c>
      <c r="D18" s="146">
        <v>18942650</v>
      </c>
      <c r="E18" s="147">
        <v>21925321.760000002</v>
      </c>
      <c r="F18" s="147">
        <v>25712119</v>
      </c>
      <c r="G18" s="148">
        <v>28031630</v>
      </c>
      <c r="H18" s="149">
        <v>30259164</v>
      </c>
      <c r="I18" s="147">
        <f t="shared" ref="I18:P18" si="2">H18*102%</f>
        <v>30864347.280000001</v>
      </c>
      <c r="J18" s="147">
        <f t="shared" si="2"/>
        <v>31481634.2256</v>
      </c>
      <c r="K18" s="149">
        <f t="shared" si="2"/>
        <v>32111266.910112001</v>
      </c>
      <c r="L18" s="147">
        <f t="shared" si="2"/>
        <v>32753492.248314243</v>
      </c>
      <c r="M18" s="147">
        <f t="shared" si="2"/>
        <v>33408562.093280528</v>
      </c>
      <c r="N18" s="147">
        <f t="shared" si="2"/>
        <v>34076733.335146137</v>
      </c>
      <c r="O18" s="147">
        <f t="shared" si="2"/>
        <v>34758268.001849063</v>
      </c>
      <c r="P18" s="147">
        <f t="shared" si="2"/>
        <v>35453433.361886047</v>
      </c>
      <c r="Q18" s="150">
        <f>O18*102%</f>
        <v>35453433.361886047</v>
      </c>
      <c r="R18" s="151">
        <f>P18*102%</f>
        <v>36162502.029123768</v>
      </c>
    </row>
    <row r="19" spans="1:19" ht="28.5" customHeight="1">
      <c r="A19" s="145" t="s">
        <v>73</v>
      </c>
      <c r="B19" s="453"/>
      <c r="C19" s="152" t="s">
        <v>80</v>
      </c>
      <c r="D19" s="147">
        <v>6162886</v>
      </c>
      <c r="E19" s="147">
        <v>6959371</v>
      </c>
      <c r="F19" s="147">
        <v>7561065</v>
      </c>
      <c r="G19" s="148">
        <v>8358243</v>
      </c>
      <c r="H19" s="149">
        <v>7832000</v>
      </c>
      <c r="I19" s="147">
        <v>7910300</v>
      </c>
      <c r="J19" s="147">
        <v>7950000</v>
      </c>
      <c r="K19" s="149">
        <v>7980000</v>
      </c>
      <c r="L19" s="147">
        <v>8010000</v>
      </c>
      <c r="M19" s="147">
        <v>8170200</v>
      </c>
      <c r="N19" s="147">
        <f>M19*102%</f>
        <v>8333604</v>
      </c>
      <c r="O19" s="147">
        <f>N19*102%</f>
        <v>8500276.0800000001</v>
      </c>
      <c r="P19" s="147">
        <f>O19*102%</f>
        <v>8670281.6016000006</v>
      </c>
      <c r="Q19" s="150">
        <f>O19*102%</f>
        <v>8670281.6016000006</v>
      </c>
      <c r="R19" s="151">
        <f>P19*102%</f>
        <v>8843687.2336320002</v>
      </c>
    </row>
    <row r="20" spans="1:19" ht="20.25" customHeight="1">
      <c r="A20" s="145" t="s">
        <v>81</v>
      </c>
      <c r="B20" s="453"/>
      <c r="C20" s="152" t="s">
        <v>82</v>
      </c>
      <c r="D20" s="146">
        <v>0</v>
      </c>
      <c r="E20" s="147">
        <v>0</v>
      </c>
      <c r="F20" s="147">
        <v>0</v>
      </c>
      <c r="G20" s="148">
        <v>0</v>
      </c>
      <c r="H20" s="146">
        <v>0</v>
      </c>
      <c r="I20" s="146"/>
      <c r="J20" s="146">
        <v>0</v>
      </c>
      <c r="K20" s="146"/>
      <c r="L20" s="146"/>
      <c r="M20" s="146"/>
      <c r="N20" s="146"/>
      <c r="O20" s="146"/>
      <c r="P20" s="146"/>
      <c r="Q20" s="146"/>
      <c r="R20" s="146"/>
    </row>
    <row r="21" spans="1:19" ht="35.25" customHeight="1">
      <c r="A21" s="145" t="s">
        <v>75</v>
      </c>
      <c r="B21" s="453"/>
      <c r="C21" s="152" t="s">
        <v>83</v>
      </c>
      <c r="D21" s="146">
        <v>0</v>
      </c>
      <c r="E21" s="146">
        <v>0</v>
      </c>
      <c r="F21" s="146">
        <v>0</v>
      </c>
      <c r="G21" s="148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60">
        <v>0</v>
      </c>
      <c r="R21" s="161">
        <v>0</v>
      </c>
    </row>
    <row r="22" spans="1:19" ht="31.5">
      <c r="A22" s="145" t="s">
        <v>84</v>
      </c>
      <c r="B22" s="453"/>
      <c r="C22" s="152" t="s">
        <v>85</v>
      </c>
      <c r="D22" s="162" t="s">
        <v>86</v>
      </c>
      <c r="E22" s="147" t="s">
        <v>86</v>
      </c>
      <c r="F22" s="147" t="s">
        <v>86</v>
      </c>
      <c r="G22" s="148" t="s">
        <v>86</v>
      </c>
      <c r="H22" s="149">
        <f>'Wykaz przedsięwzięć'!J12</f>
        <v>687917</v>
      </c>
      <c r="I22" s="149">
        <f>'Wykaz przedsięwzięć'!M12</f>
        <v>687917</v>
      </c>
      <c r="J22" s="149">
        <f>'Wykaz przedsięwzięć'!N12</f>
        <v>550200</v>
      </c>
      <c r="K22" s="149">
        <f>'Wykaz przedsięwzięć'!O12</f>
        <v>329400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53">
        <v>0</v>
      </c>
      <c r="R22" s="154">
        <v>0</v>
      </c>
    </row>
    <row r="23" spans="1:19" ht="38.25" customHeight="1">
      <c r="A23" s="163">
        <v>3</v>
      </c>
      <c r="B23" s="438" t="s">
        <v>87</v>
      </c>
      <c r="C23" s="438"/>
      <c r="D23" s="164">
        <f t="shared" ref="D23:R23" si="3">D13-D17</f>
        <v>20376783</v>
      </c>
      <c r="E23" s="164">
        <f t="shared" si="3"/>
        <v>17515837</v>
      </c>
      <c r="F23" s="164">
        <f t="shared" si="3"/>
        <v>10148488</v>
      </c>
      <c r="G23" s="157">
        <f>G13-G17</f>
        <v>9066206</v>
      </c>
      <c r="H23" s="156">
        <f t="shared" si="3"/>
        <v>45318663</v>
      </c>
      <c r="I23" s="164">
        <f t="shared" si="3"/>
        <v>74852138</v>
      </c>
      <c r="J23" s="164">
        <f t="shared" si="3"/>
        <v>38596603</v>
      </c>
      <c r="K23" s="156">
        <f t="shared" si="3"/>
        <v>21958604</v>
      </c>
      <c r="L23" s="164">
        <f>L13-L17</f>
        <v>8027631</v>
      </c>
      <c r="M23" s="164">
        <f t="shared" si="3"/>
        <v>18046062</v>
      </c>
      <c r="N23" s="164">
        <f t="shared" si="3"/>
        <v>18620051</v>
      </c>
      <c r="O23" s="164">
        <f t="shared" si="3"/>
        <v>7929349</v>
      </c>
      <c r="P23" s="164">
        <f t="shared" si="3"/>
        <v>8659696</v>
      </c>
      <c r="Q23" s="165">
        <f>Q13-Q17</f>
        <v>13211009</v>
      </c>
      <c r="R23" s="166">
        <f t="shared" si="3"/>
        <v>13624011</v>
      </c>
    </row>
    <row r="24" spans="1:19" ht="39.75" customHeight="1">
      <c r="A24" s="163">
        <v>4</v>
      </c>
      <c r="B24" s="438" t="s">
        <v>88</v>
      </c>
      <c r="C24" s="438"/>
      <c r="D24" s="167">
        <v>36329305</v>
      </c>
      <c r="E24" s="167">
        <v>19854380</v>
      </c>
      <c r="F24" s="167">
        <v>3719761</v>
      </c>
      <c r="G24" s="157">
        <v>1245475</v>
      </c>
      <c r="H24" s="168">
        <v>51585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9">
        <v>0</v>
      </c>
      <c r="R24" s="170">
        <v>0</v>
      </c>
    </row>
    <row r="25" spans="1:19" ht="51" customHeight="1">
      <c r="A25" s="145" t="s">
        <v>71</v>
      </c>
      <c r="B25" s="171" t="s">
        <v>76</v>
      </c>
      <c r="C25" s="172" t="s">
        <v>89</v>
      </c>
      <c r="D25" s="146">
        <v>16474925</v>
      </c>
      <c r="E25" s="146">
        <v>14712619</v>
      </c>
      <c r="F25" s="146">
        <v>0</v>
      </c>
      <c r="G25" s="148"/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4">
        <v>0</v>
      </c>
      <c r="R25" s="175">
        <v>0</v>
      </c>
    </row>
    <row r="26" spans="1:19" ht="33.75" customHeight="1">
      <c r="A26" s="163">
        <v>5</v>
      </c>
      <c r="B26" s="438" t="s">
        <v>90</v>
      </c>
      <c r="C26" s="438"/>
      <c r="D26" s="167">
        <v>0</v>
      </c>
      <c r="E26" s="167">
        <v>0</v>
      </c>
      <c r="F26" s="164">
        <v>0</v>
      </c>
      <c r="G26" s="157">
        <v>0</v>
      </c>
      <c r="H26" s="156">
        <v>0</v>
      </c>
      <c r="I26" s="164">
        <v>0</v>
      </c>
      <c r="J26" s="164">
        <v>0</v>
      </c>
      <c r="K26" s="156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5">
        <v>0</v>
      </c>
      <c r="R26" s="166">
        <v>0</v>
      </c>
    </row>
    <row r="27" spans="1:19" ht="20.25" customHeight="1">
      <c r="A27" s="163">
        <v>6</v>
      </c>
      <c r="B27" s="438" t="s">
        <v>91</v>
      </c>
      <c r="C27" s="438"/>
      <c r="D27" s="164">
        <f t="shared" ref="D27:R27" si="4">D23+D24+D26</f>
        <v>56706088</v>
      </c>
      <c r="E27" s="164">
        <f t="shared" si="4"/>
        <v>37370217</v>
      </c>
      <c r="F27" s="164">
        <f t="shared" si="4"/>
        <v>13868249</v>
      </c>
      <c r="G27" s="157">
        <f>G23+G24+G26</f>
        <v>10311681</v>
      </c>
      <c r="H27" s="156">
        <f>H23+H24+H26</f>
        <v>45370248</v>
      </c>
      <c r="I27" s="164">
        <f t="shared" si="4"/>
        <v>74852138</v>
      </c>
      <c r="J27" s="164">
        <f t="shared" si="4"/>
        <v>38596603</v>
      </c>
      <c r="K27" s="156">
        <f t="shared" si="4"/>
        <v>21958604</v>
      </c>
      <c r="L27" s="164">
        <f>L23+L24+L26</f>
        <v>8027631</v>
      </c>
      <c r="M27" s="164">
        <f t="shared" si="4"/>
        <v>18046062</v>
      </c>
      <c r="N27" s="164">
        <f t="shared" si="4"/>
        <v>18620051</v>
      </c>
      <c r="O27" s="164">
        <f t="shared" si="4"/>
        <v>7929349</v>
      </c>
      <c r="P27" s="164">
        <f t="shared" si="4"/>
        <v>8659696</v>
      </c>
      <c r="Q27" s="165">
        <f t="shared" si="4"/>
        <v>13211009</v>
      </c>
      <c r="R27" s="166">
        <f t="shared" si="4"/>
        <v>13624011</v>
      </c>
    </row>
    <row r="28" spans="1:19" ht="20.25" customHeight="1">
      <c r="A28" s="163">
        <v>7</v>
      </c>
      <c r="B28" s="438" t="s">
        <v>92</v>
      </c>
      <c r="C28" s="438"/>
      <c r="D28" s="167">
        <f t="shared" ref="D28:R28" si="5">D29+D33</f>
        <v>1473579</v>
      </c>
      <c r="E28" s="167">
        <f t="shared" si="5"/>
        <v>1883950</v>
      </c>
      <c r="F28" s="167">
        <f t="shared" si="5"/>
        <v>4502192</v>
      </c>
      <c r="G28" s="157">
        <f>G29+G33</f>
        <v>9065858</v>
      </c>
      <c r="H28" s="168">
        <f t="shared" si="5"/>
        <v>6883561</v>
      </c>
      <c r="I28" s="167">
        <f t="shared" si="5"/>
        <v>9489679</v>
      </c>
      <c r="J28" s="167">
        <f t="shared" si="5"/>
        <v>10045342</v>
      </c>
      <c r="K28" s="168">
        <f t="shared" si="5"/>
        <v>9958604</v>
      </c>
      <c r="L28" s="167">
        <f t="shared" si="5"/>
        <v>8027631</v>
      </c>
      <c r="M28" s="167">
        <f t="shared" si="5"/>
        <v>8046062</v>
      </c>
      <c r="N28" s="167">
        <f t="shared" si="5"/>
        <v>8620051</v>
      </c>
      <c r="O28" s="167">
        <f t="shared" si="5"/>
        <v>7929348.6899999995</v>
      </c>
      <c r="P28" s="167">
        <f t="shared" si="5"/>
        <v>8659695.7599999998</v>
      </c>
      <c r="Q28" s="176">
        <f t="shared" si="5"/>
        <v>8211009</v>
      </c>
      <c r="R28" s="177">
        <f t="shared" si="5"/>
        <v>8624010.6600000001</v>
      </c>
    </row>
    <row r="29" spans="1:19" s="50" customFormat="1" ht="36" customHeight="1">
      <c r="A29" s="178" t="s">
        <v>71</v>
      </c>
      <c r="B29" s="434" t="s">
        <v>93</v>
      </c>
      <c r="C29" s="434"/>
      <c r="D29" s="173">
        <v>1167600</v>
      </c>
      <c r="E29" s="149">
        <v>1422000</v>
      </c>
      <c r="F29" s="149">
        <v>3463314</v>
      </c>
      <c r="G29" s="148">
        <v>6940085</v>
      </c>
      <c r="H29" s="149">
        <v>4551585</v>
      </c>
      <c r="I29" s="149">
        <f>6885040+Arkusz4!F8</f>
        <v>6935040</v>
      </c>
      <c r="J29" s="149">
        <f>7216899+Arkusz4!F12+Arkusz5!F13</f>
        <v>7466899</v>
      </c>
      <c r="K29" s="149">
        <f>7056453+Arkusz4!F16+Arkusz5!F17</f>
        <v>7156453</v>
      </c>
      <c r="L29" s="149">
        <f>6100000+Arkusz4!F20+Arkusz5!F21</f>
        <v>6200000</v>
      </c>
      <c r="M29" s="149">
        <f>6200000+Arkusz4!F24+Arkusz5!F25</f>
        <v>6300000</v>
      </c>
      <c r="N29" s="149">
        <f>6776170+Arkusz4!F28+Arkusz5!F29</f>
        <v>6876170</v>
      </c>
      <c r="O29" s="149">
        <f>3011500+Arkusz4!F32+Arkusz5!F33</f>
        <v>6095360</v>
      </c>
      <c r="P29" s="149">
        <f>Arkusz4!F36+Arkusz5!F37</f>
        <v>7083855</v>
      </c>
      <c r="Q29" s="153">
        <f>Arkusz4!F40+Arkusz5!F41</f>
        <v>7083870</v>
      </c>
      <c r="R29" s="154">
        <f>Arkusz4!F44+Arkusz5!F45</f>
        <v>7548415</v>
      </c>
      <c r="S29" s="79"/>
    </row>
    <row r="30" spans="1:19" s="50" customFormat="1" ht="19.5" customHeight="1">
      <c r="A30" s="178"/>
      <c r="B30" s="435" t="s">
        <v>76</v>
      </c>
      <c r="C30" s="179" t="s">
        <v>94</v>
      </c>
      <c r="D30" s="173">
        <v>1167600</v>
      </c>
      <c r="E30" s="149">
        <v>1422000</v>
      </c>
      <c r="F30" s="149">
        <v>2963314</v>
      </c>
      <c r="G30" s="148">
        <v>3340085</v>
      </c>
      <c r="H30" s="149">
        <v>2141585</v>
      </c>
      <c r="I30" s="149">
        <v>3535040</v>
      </c>
      <c r="J30" s="149">
        <v>3866899</v>
      </c>
      <c r="K30" s="149">
        <v>3506453</v>
      </c>
      <c r="L30" s="149">
        <v>2550000</v>
      </c>
      <c r="M30" s="149">
        <v>2550000</v>
      </c>
      <c r="N30" s="149">
        <v>2401170</v>
      </c>
      <c r="O30" s="149">
        <v>262028</v>
      </c>
      <c r="P30" s="149">
        <v>1050523</v>
      </c>
      <c r="Q30" s="153">
        <v>1000000</v>
      </c>
      <c r="R30" s="154">
        <v>423949</v>
      </c>
      <c r="S30" s="79"/>
    </row>
    <row r="31" spans="1:19" s="50" customFormat="1" ht="19.5" customHeight="1">
      <c r="A31" s="178"/>
      <c r="B31" s="435"/>
      <c r="C31" s="179" t="s">
        <v>95</v>
      </c>
      <c r="D31" s="173"/>
      <c r="E31" s="149"/>
      <c r="F31" s="149">
        <v>500000</v>
      </c>
      <c r="G31" s="148">
        <v>3600000</v>
      </c>
      <c r="H31" s="149">
        <v>410000</v>
      </c>
      <c r="I31" s="149">
        <v>400000</v>
      </c>
      <c r="J31" s="149">
        <v>600000</v>
      </c>
      <c r="K31" s="149">
        <v>650000</v>
      </c>
      <c r="L31" s="149">
        <v>650000</v>
      </c>
      <c r="M31" s="149">
        <v>750000</v>
      </c>
      <c r="N31" s="149">
        <v>1475000</v>
      </c>
      <c r="O31" s="149">
        <v>833332</v>
      </c>
      <c r="P31" s="149">
        <v>3333332</v>
      </c>
      <c r="Q31" s="153">
        <v>3383870</v>
      </c>
      <c r="R31" s="154">
        <v>3024466</v>
      </c>
      <c r="S31" s="79"/>
    </row>
    <row r="32" spans="1:19" s="50" customFormat="1" ht="19.5" customHeight="1">
      <c r="A32" s="178"/>
      <c r="B32" s="435"/>
      <c r="C32" s="179" t="s">
        <v>96</v>
      </c>
      <c r="D32" s="173"/>
      <c r="E32" s="149"/>
      <c r="F32" s="149"/>
      <c r="G32" s="148"/>
      <c r="H32" s="149">
        <v>2000000</v>
      </c>
      <c r="I32" s="149">
        <v>3000000</v>
      </c>
      <c r="J32" s="149">
        <v>3000000</v>
      </c>
      <c r="K32" s="149">
        <v>3000000</v>
      </c>
      <c r="L32" s="149">
        <v>3000000</v>
      </c>
      <c r="M32" s="149">
        <v>3000000</v>
      </c>
      <c r="N32" s="149">
        <v>3000000</v>
      </c>
      <c r="O32" s="149">
        <v>5000000</v>
      </c>
      <c r="P32" s="149">
        <v>2700000</v>
      </c>
      <c r="Q32" s="153">
        <v>2700000</v>
      </c>
      <c r="R32" s="154">
        <v>4100000</v>
      </c>
      <c r="S32" s="79"/>
    </row>
    <row r="33" spans="1:18" ht="20.25" customHeight="1">
      <c r="A33" s="145" t="s">
        <v>73</v>
      </c>
      <c r="B33" s="436" t="s">
        <v>97</v>
      </c>
      <c r="C33" s="436"/>
      <c r="D33" s="146">
        <v>305979</v>
      </c>
      <c r="E33" s="147">
        <v>461950</v>
      </c>
      <c r="F33" s="147">
        <v>1038878</v>
      </c>
      <c r="G33" s="148">
        <v>2125773</v>
      </c>
      <c r="H33" s="149">
        <v>2331976</v>
      </c>
      <c r="I33" s="147">
        <f>1120952+Arkusz4!G8</f>
        <v>2554639</v>
      </c>
      <c r="J33" s="147">
        <f>803506+Arkusz4!G12+Arkusz5!G13</f>
        <v>2578443</v>
      </c>
      <c r="K33" s="149">
        <f>1375463+Arkusz4!G16</f>
        <v>2802151</v>
      </c>
      <c r="L33" s="147">
        <f>74568+Arkusz4!G20+Arkusz5!G21</f>
        <v>1827631</v>
      </c>
      <c r="M33" s="147">
        <f>Arkusz4!G24+Arkusz5!G25</f>
        <v>1746062</v>
      </c>
      <c r="N33" s="147">
        <f>4818+Arkusz4!G28+Arkusz5!G29</f>
        <v>1743881</v>
      </c>
      <c r="O33" s="147">
        <f>180403+Arkusz4!G32+Arkusz5!G33</f>
        <v>1833988.69</v>
      </c>
      <c r="P33" s="147">
        <f>180403+Arkusz4!G36+Arkusz5!G37</f>
        <v>1575840.76</v>
      </c>
      <c r="Q33" s="150">
        <f>Arkusz4!G44+Arkusz5!G45+800000</f>
        <v>1127139</v>
      </c>
      <c r="R33" s="151">
        <f>180403+Arkusz4!G40+Arkusz5!G41</f>
        <v>1075595.6600000001</v>
      </c>
    </row>
    <row r="34" spans="1:18" ht="20.25" customHeight="1">
      <c r="A34" s="163">
        <v>8</v>
      </c>
      <c r="B34" s="438" t="s">
        <v>98</v>
      </c>
      <c r="C34" s="438"/>
      <c r="D34" s="167">
        <v>0</v>
      </c>
      <c r="E34" s="164">
        <v>0</v>
      </c>
      <c r="F34" s="164">
        <v>0</v>
      </c>
      <c r="G34" s="157">
        <v>40000</v>
      </c>
      <c r="H34" s="156">
        <v>0</v>
      </c>
      <c r="I34" s="164">
        <v>0</v>
      </c>
      <c r="J34" s="164">
        <v>0</v>
      </c>
      <c r="K34" s="156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5">
        <v>0</v>
      </c>
      <c r="R34" s="166">
        <v>0</v>
      </c>
    </row>
    <row r="35" spans="1:18" ht="37.5" customHeight="1">
      <c r="A35" s="155">
        <v>9</v>
      </c>
      <c r="B35" s="452" t="s">
        <v>247</v>
      </c>
      <c r="C35" s="452"/>
      <c r="D35" s="156">
        <f t="shared" ref="D35:R35" si="6">D27-D28-D34</f>
        <v>55232509</v>
      </c>
      <c r="E35" s="156">
        <f t="shared" si="6"/>
        <v>35486267</v>
      </c>
      <c r="F35" s="156">
        <f t="shared" si="6"/>
        <v>9366057</v>
      </c>
      <c r="G35" s="157">
        <f>G27-G28-G34</f>
        <v>1205823</v>
      </c>
      <c r="H35" s="156">
        <f>H27-H28-H34</f>
        <v>38486687</v>
      </c>
      <c r="I35" s="156">
        <f>I27-I28-I34</f>
        <v>65362459</v>
      </c>
      <c r="J35" s="156">
        <f t="shared" si="6"/>
        <v>28551261</v>
      </c>
      <c r="K35" s="156">
        <f t="shared" si="6"/>
        <v>12000000</v>
      </c>
      <c r="L35" s="156">
        <f t="shared" si="6"/>
        <v>0</v>
      </c>
      <c r="M35" s="156">
        <f t="shared" si="6"/>
        <v>10000000</v>
      </c>
      <c r="N35" s="156">
        <f t="shared" si="6"/>
        <v>10000000</v>
      </c>
      <c r="O35" s="156">
        <f t="shared" si="6"/>
        <v>0.31000000052154064</v>
      </c>
      <c r="P35" s="156">
        <f t="shared" si="6"/>
        <v>0.24000000022351742</v>
      </c>
      <c r="Q35" s="158">
        <f t="shared" si="6"/>
        <v>5000000</v>
      </c>
      <c r="R35" s="159">
        <f t="shared" si="6"/>
        <v>5000000.34</v>
      </c>
    </row>
    <row r="36" spans="1:18" ht="20.25" customHeight="1">
      <c r="A36" s="155">
        <v>10</v>
      </c>
      <c r="B36" s="452" t="s">
        <v>99</v>
      </c>
      <c r="C36" s="452"/>
      <c r="D36" s="168">
        <v>38733128.640000001</v>
      </c>
      <c r="E36" s="156">
        <v>43312675.57</v>
      </c>
      <c r="F36" s="156">
        <v>33260582</v>
      </c>
      <c r="G36" s="157">
        <v>9778746</v>
      </c>
      <c r="H36" s="156">
        <v>58986687</v>
      </c>
      <c r="I36" s="156">
        <f t="shared" ref="I36:P36" si="7">I37</f>
        <v>70362459</v>
      </c>
      <c r="J36" s="156">
        <f>J37</f>
        <v>28551261</v>
      </c>
      <c r="K36" s="156">
        <f t="shared" si="7"/>
        <v>12000000</v>
      </c>
      <c r="L36" s="156">
        <f t="shared" si="7"/>
        <v>0</v>
      </c>
      <c r="M36" s="156">
        <v>10000000</v>
      </c>
      <c r="N36" s="156">
        <v>10000000</v>
      </c>
      <c r="O36" s="156">
        <f t="shared" si="7"/>
        <v>0</v>
      </c>
      <c r="P36" s="156">
        <f t="shared" si="7"/>
        <v>0</v>
      </c>
      <c r="Q36" s="156">
        <v>5000000</v>
      </c>
      <c r="R36" s="156">
        <v>5000000</v>
      </c>
    </row>
    <row r="37" spans="1:18" ht="36" customHeight="1">
      <c r="A37" s="145" t="s">
        <v>71</v>
      </c>
      <c r="B37" s="180" t="s">
        <v>76</v>
      </c>
      <c r="C37" s="152" t="s">
        <v>100</v>
      </c>
      <c r="D37" s="146" t="s">
        <v>86</v>
      </c>
      <c r="E37" s="147" t="s">
        <v>86</v>
      </c>
      <c r="F37" s="147" t="s">
        <v>86</v>
      </c>
      <c r="G37" s="148" t="s">
        <v>86</v>
      </c>
      <c r="H37" s="149">
        <f>'Wykaz przedsięwzięć'!J13</f>
        <v>43411788</v>
      </c>
      <c r="I37" s="149">
        <f>'Wykaz przedsięwzięć'!M13</f>
        <v>70362459</v>
      </c>
      <c r="J37" s="149">
        <f>'Wykaz przedsięwzięć'!N13</f>
        <v>28551261</v>
      </c>
      <c r="K37" s="149">
        <f>'Wykaz przedsięwzięć'!O13</f>
        <v>12000000</v>
      </c>
      <c r="L37" s="149">
        <v>0</v>
      </c>
      <c r="M37" s="149"/>
      <c r="N37" s="149"/>
      <c r="O37" s="149"/>
      <c r="P37" s="149"/>
      <c r="Q37" s="153"/>
      <c r="R37" s="154"/>
    </row>
    <row r="38" spans="1:18" ht="15">
      <c r="A38" s="181"/>
      <c r="B38" s="182"/>
      <c r="C38" s="183"/>
      <c r="D38" s="184"/>
      <c r="E38" s="185"/>
      <c r="F38" s="185"/>
      <c r="G38" s="186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 ht="15">
      <c r="A39" s="188"/>
      <c r="B39" s="189"/>
      <c r="C39" s="190"/>
      <c r="D39" s="191"/>
      <c r="E39" s="192"/>
      <c r="F39" s="192"/>
      <c r="G39" s="193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</row>
    <row r="40" spans="1:18" ht="15">
      <c r="A40" s="188"/>
      <c r="B40" s="189"/>
      <c r="C40" s="190"/>
      <c r="D40" s="191"/>
      <c r="E40" s="192"/>
      <c r="F40" s="192"/>
      <c r="G40" s="193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ht="15">
      <c r="A41" s="188"/>
      <c r="B41" s="189"/>
      <c r="C41" s="190"/>
      <c r="D41" s="191"/>
      <c r="E41" s="192"/>
      <c r="F41" s="192"/>
      <c r="G41" s="193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5">
      <c r="A42" s="188"/>
      <c r="B42" s="189"/>
      <c r="C42" s="190"/>
      <c r="D42" s="191"/>
      <c r="E42" s="192"/>
      <c r="F42" s="192"/>
      <c r="G42" s="193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</row>
    <row r="43" spans="1:18" ht="27" customHeight="1">
      <c r="A43" s="188"/>
      <c r="B43" s="189"/>
      <c r="C43" s="190"/>
      <c r="D43" s="191"/>
      <c r="E43" s="192"/>
      <c r="F43" s="192"/>
      <c r="G43" s="193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</row>
    <row r="44" spans="1:18" ht="15">
      <c r="A44" s="188"/>
      <c r="B44" s="189"/>
      <c r="C44" s="190"/>
      <c r="D44" s="191"/>
      <c r="E44" s="192"/>
      <c r="F44" s="192"/>
      <c r="G44" s="193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</row>
    <row r="45" spans="1:18" ht="15">
      <c r="A45" s="188"/>
      <c r="B45" s="189"/>
      <c r="C45" s="190"/>
      <c r="D45" s="191"/>
      <c r="E45" s="192"/>
      <c r="F45" s="192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</row>
    <row r="46" spans="1:18" ht="15">
      <c r="A46" s="188"/>
      <c r="B46" s="189"/>
      <c r="C46" s="190"/>
      <c r="D46" s="191"/>
      <c r="E46" s="192"/>
      <c r="F46" s="192"/>
      <c r="G46" s="193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</row>
    <row r="47" spans="1:18" ht="18" customHeight="1">
      <c r="A47" s="188"/>
      <c r="B47" s="189"/>
      <c r="C47" s="190"/>
      <c r="D47" s="191"/>
      <c r="E47" s="192"/>
      <c r="F47" s="192"/>
      <c r="G47" s="193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</row>
    <row r="48" spans="1:18" ht="6.75" customHeight="1">
      <c r="A48" s="188"/>
      <c r="B48" s="189"/>
      <c r="C48" s="190"/>
      <c r="D48" s="191"/>
      <c r="E48" s="192"/>
      <c r="F48" s="192"/>
      <c r="G48" s="193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</row>
    <row r="49" spans="1:19" ht="14.85" customHeight="1" thickBot="1">
      <c r="A49" s="441" t="s">
        <v>65</v>
      </c>
      <c r="B49" s="444" t="s">
        <v>66</v>
      </c>
      <c r="C49" s="444"/>
      <c r="D49" s="444" t="s">
        <v>67</v>
      </c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19" ht="14.85" customHeight="1" thickBot="1">
      <c r="A50" s="441"/>
      <c r="B50" s="444"/>
      <c r="C50" s="444"/>
      <c r="D50" s="426" t="s">
        <v>68</v>
      </c>
      <c r="E50" s="427"/>
      <c r="F50" s="427"/>
      <c r="G50" s="428"/>
      <c r="H50" s="444" t="s">
        <v>69</v>
      </c>
      <c r="I50" s="444"/>
      <c r="J50" s="444"/>
      <c r="K50" s="444"/>
      <c r="L50" s="444"/>
      <c r="M50" s="444"/>
      <c r="N50" s="444"/>
      <c r="O50" s="444"/>
      <c r="P50" s="444"/>
      <c r="Q50" s="444"/>
      <c r="R50" s="444"/>
    </row>
    <row r="51" spans="1:19" ht="13.5" thickBot="1">
      <c r="A51" s="441"/>
      <c r="B51" s="444"/>
      <c r="C51" s="444"/>
      <c r="D51" s="441">
        <v>2007</v>
      </c>
      <c r="E51" s="441">
        <v>2008</v>
      </c>
      <c r="F51" s="441">
        <v>2009</v>
      </c>
      <c r="G51" s="429">
        <v>2010</v>
      </c>
      <c r="H51" s="441">
        <v>2011</v>
      </c>
      <c r="I51" s="441">
        <v>2012</v>
      </c>
      <c r="J51" s="441">
        <v>2013</v>
      </c>
      <c r="K51" s="441">
        <v>2014</v>
      </c>
      <c r="L51" s="441">
        <v>2015</v>
      </c>
      <c r="M51" s="441">
        <v>2016</v>
      </c>
      <c r="N51" s="441">
        <v>2017</v>
      </c>
      <c r="O51" s="441">
        <v>2018</v>
      </c>
      <c r="P51" s="441">
        <v>2019</v>
      </c>
      <c r="Q51" s="441">
        <v>2020</v>
      </c>
      <c r="R51" s="441">
        <v>2021</v>
      </c>
    </row>
    <row r="52" spans="1:19" ht="13.5" thickBot="1">
      <c r="A52" s="441"/>
      <c r="B52" s="444"/>
      <c r="C52" s="444"/>
      <c r="D52" s="441"/>
      <c r="E52" s="441"/>
      <c r="F52" s="441"/>
      <c r="G52" s="430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</row>
    <row r="53" spans="1:19" ht="27" customHeight="1">
      <c r="A53" s="163">
        <v>11</v>
      </c>
      <c r="B53" s="438" t="s">
        <v>101</v>
      </c>
      <c r="C53" s="438"/>
      <c r="D53" s="167">
        <v>3355000</v>
      </c>
      <c r="E53" s="164">
        <v>11546170</v>
      </c>
      <c r="F53" s="164">
        <v>25140000</v>
      </c>
      <c r="G53" s="157">
        <v>9000000</v>
      </c>
      <c r="H53" s="164">
        <f>SUM(H54:H57)</f>
        <v>20500000</v>
      </c>
      <c r="I53" s="164">
        <v>5000000</v>
      </c>
      <c r="J53" s="164">
        <v>0</v>
      </c>
      <c r="K53" s="156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5">
        <v>0</v>
      </c>
      <c r="R53" s="166">
        <v>0</v>
      </c>
    </row>
    <row r="54" spans="1:19" ht="21" customHeight="1">
      <c r="A54" s="195"/>
      <c r="B54" s="435" t="s">
        <v>76</v>
      </c>
      <c r="C54" s="179" t="s">
        <v>94</v>
      </c>
      <c r="D54" s="147">
        <v>3355000</v>
      </c>
      <c r="E54" s="147">
        <v>7546170</v>
      </c>
      <c r="F54" s="147">
        <v>6330000</v>
      </c>
      <c r="G54" s="147"/>
      <c r="H54" s="147">
        <v>3000000</v>
      </c>
      <c r="I54" s="147">
        <v>5000000</v>
      </c>
      <c r="J54" s="196"/>
      <c r="K54" s="197"/>
      <c r="L54" s="196"/>
      <c r="M54" s="196"/>
      <c r="N54" s="196"/>
      <c r="O54" s="196"/>
      <c r="P54" s="196"/>
      <c r="Q54" s="198"/>
      <c r="R54" s="199"/>
    </row>
    <row r="55" spans="1:19" ht="21" customHeight="1">
      <c r="A55" s="234"/>
      <c r="B55" s="435"/>
      <c r="C55" s="179" t="s">
        <v>95</v>
      </c>
      <c r="D55" s="147"/>
      <c r="E55" s="147">
        <v>4000000</v>
      </c>
      <c r="F55" s="147">
        <v>4810000</v>
      </c>
      <c r="G55" s="147"/>
      <c r="H55" s="147">
        <v>6000000</v>
      </c>
      <c r="I55" s="147"/>
      <c r="J55" s="196"/>
      <c r="K55" s="197"/>
      <c r="L55" s="196"/>
      <c r="M55" s="196"/>
      <c r="N55" s="196"/>
      <c r="O55" s="196"/>
      <c r="P55" s="196"/>
      <c r="Q55" s="198"/>
      <c r="R55" s="199"/>
    </row>
    <row r="56" spans="1:19" ht="21" customHeight="1">
      <c r="A56" s="234"/>
      <c r="B56" s="435"/>
      <c r="C56" s="179" t="s">
        <v>248</v>
      </c>
      <c r="D56" s="147"/>
      <c r="E56" s="147"/>
      <c r="F56" s="147">
        <v>14000000</v>
      </c>
      <c r="G56" s="147">
        <v>9000000</v>
      </c>
      <c r="H56" s="147">
        <v>7000000</v>
      </c>
      <c r="I56" s="147"/>
      <c r="J56" s="196"/>
      <c r="K56" s="197"/>
      <c r="L56" s="196"/>
      <c r="M56" s="196"/>
      <c r="N56" s="196"/>
      <c r="O56" s="196"/>
      <c r="P56" s="196"/>
      <c r="Q56" s="198"/>
      <c r="R56" s="199"/>
    </row>
    <row r="57" spans="1:19" ht="36.75" customHeight="1">
      <c r="A57" s="234"/>
      <c r="B57" s="435"/>
      <c r="C57" s="179" t="s">
        <v>249</v>
      </c>
      <c r="D57" s="147"/>
      <c r="E57" s="147"/>
      <c r="F57" s="147"/>
      <c r="G57" s="147"/>
      <c r="H57" s="147">
        <v>4500000</v>
      </c>
      <c r="I57" s="147"/>
      <c r="J57" s="196"/>
      <c r="K57" s="197"/>
      <c r="L57" s="196"/>
      <c r="M57" s="196"/>
      <c r="N57" s="196"/>
      <c r="O57" s="196"/>
      <c r="P57" s="196"/>
      <c r="Q57" s="198"/>
      <c r="R57" s="199"/>
    </row>
    <row r="58" spans="1:19" ht="68.25" customHeight="1">
      <c r="A58" s="234"/>
      <c r="B58" s="435"/>
      <c r="C58" s="200" t="s">
        <v>103</v>
      </c>
      <c r="D58" s="147">
        <v>13695715</v>
      </c>
      <c r="E58" s="147">
        <v>15733115</v>
      </c>
      <c r="F58" s="147">
        <v>3719761</v>
      </c>
      <c r="G58" s="147">
        <v>1245475</v>
      </c>
      <c r="H58" s="147">
        <v>51585</v>
      </c>
      <c r="I58" s="147"/>
      <c r="J58" s="196"/>
      <c r="K58" s="197"/>
      <c r="L58" s="196"/>
      <c r="M58" s="196"/>
      <c r="N58" s="196"/>
      <c r="O58" s="196"/>
      <c r="P58" s="196"/>
      <c r="Q58" s="198"/>
      <c r="R58" s="199"/>
    </row>
    <row r="59" spans="1:19" ht="21" customHeight="1">
      <c r="A59" s="235"/>
      <c r="B59" s="435"/>
      <c r="C59" s="201" t="s">
        <v>104</v>
      </c>
      <c r="D59" s="147">
        <v>22633590</v>
      </c>
      <c r="E59" s="147">
        <v>4121265</v>
      </c>
      <c r="F59" s="147"/>
      <c r="G59" s="147"/>
      <c r="H59" s="147"/>
      <c r="I59" s="147"/>
      <c r="J59" s="196"/>
      <c r="K59" s="197"/>
      <c r="L59" s="196"/>
      <c r="M59" s="196"/>
      <c r="N59" s="196"/>
      <c r="O59" s="196"/>
      <c r="P59" s="196"/>
      <c r="Q59" s="198"/>
      <c r="R59" s="199"/>
    </row>
    <row r="60" spans="1:19" ht="29.25" customHeight="1">
      <c r="A60" s="202">
        <v>12</v>
      </c>
      <c r="B60" s="442" t="s">
        <v>105</v>
      </c>
      <c r="C60" s="442"/>
      <c r="D60" s="203">
        <f t="shared" ref="D60:K60" si="8">D35-D36+D53</f>
        <v>19854380.359999999</v>
      </c>
      <c r="E60" s="203">
        <f t="shared" si="8"/>
        <v>3719761.4299999997</v>
      </c>
      <c r="F60" s="203">
        <f t="shared" si="8"/>
        <v>1245475</v>
      </c>
      <c r="G60" s="157">
        <f>G35-G36+G53</f>
        <v>427077</v>
      </c>
      <c r="H60" s="204">
        <f>H35-H36+H53</f>
        <v>0</v>
      </c>
      <c r="I60" s="204">
        <f>I35-I36+I53</f>
        <v>0</v>
      </c>
      <c r="J60" s="204">
        <f t="shared" si="8"/>
        <v>0</v>
      </c>
      <c r="K60" s="204">
        <f t="shared" si="8"/>
        <v>0</v>
      </c>
      <c r="L60" s="203">
        <f t="shared" ref="L60:R60" si="9">L35-L36-L53</f>
        <v>0</v>
      </c>
      <c r="M60" s="203">
        <f t="shared" si="9"/>
        <v>0</v>
      </c>
      <c r="N60" s="203">
        <f t="shared" si="9"/>
        <v>0</v>
      </c>
      <c r="O60" s="203">
        <f t="shared" si="9"/>
        <v>0.31000000052154064</v>
      </c>
      <c r="P60" s="203">
        <f t="shared" si="9"/>
        <v>0.24000000022351742</v>
      </c>
      <c r="Q60" s="205">
        <f t="shared" si="9"/>
        <v>0</v>
      </c>
      <c r="R60" s="206">
        <f t="shared" si="9"/>
        <v>0.33999999985098839</v>
      </c>
    </row>
    <row r="61" spans="1:19" ht="22.5" customHeight="1">
      <c r="A61" s="207">
        <v>13</v>
      </c>
      <c r="B61" s="443" t="s">
        <v>106</v>
      </c>
      <c r="C61" s="443"/>
      <c r="D61" s="167">
        <f>'Prognoza długu'!C10</f>
        <v>15733115</v>
      </c>
      <c r="E61" s="167">
        <f>'Prognoza długu'!D10</f>
        <v>24061046</v>
      </c>
      <c r="F61" s="167">
        <f>'Prognoza długu'!E10</f>
        <v>45737732</v>
      </c>
      <c r="G61" s="157">
        <f>'Prognoza długu'!F10</f>
        <v>47797647</v>
      </c>
      <c r="H61" s="167">
        <f>'Prognoza długu'!G10</f>
        <v>63746062</v>
      </c>
      <c r="I61" s="167">
        <f>'Prognoza długu'!H10</f>
        <v>61811022</v>
      </c>
      <c r="J61" s="167">
        <f>'Prognoza długu'!I10</f>
        <v>54344123</v>
      </c>
      <c r="K61" s="167">
        <f>'Prognoza długu'!J10</f>
        <v>47187670</v>
      </c>
      <c r="L61" s="167">
        <f>'Prognoza długu'!K10</f>
        <v>40987670</v>
      </c>
      <c r="M61" s="167">
        <f>'Prognoza długu'!L10</f>
        <v>34687670</v>
      </c>
      <c r="N61" s="167">
        <f>'Prognoza długu'!M10</f>
        <v>27811500</v>
      </c>
      <c r="O61" s="167">
        <f>'Prognoza długu'!N10</f>
        <v>21716140</v>
      </c>
      <c r="P61" s="167">
        <f>'Prognoza długu'!O10</f>
        <v>14632285</v>
      </c>
      <c r="Q61" s="176">
        <f>'Prognoza długu'!P10</f>
        <v>7548415</v>
      </c>
      <c r="R61" s="177">
        <f>'Prognoza długu'!Q10</f>
        <v>0</v>
      </c>
      <c r="S61" s="82"/>
    </row>
    <row r="62" spans="1:19" ht="65.25" customHeight="1">
      <c r="A62" s="439"/>
      <c r="B62" s="440" t="s">
        <v>76</v>
      </c>
      <c r="C62" s="152" t="s">
        <v>107</v>
      </c>
      <c r="D62" s="164">
        <v>0</v>
      </c>
      <c r="E62" s="164">
        <v>0</v>
      </c>
      <c r="F62" s="164">
        <v>0</v>
      </c>
      <c r="G62" s="208">
        <v>0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0</v>
      </c>
    </row>
    <row r="63" spans="1:19" ht="66" customHeight="1">
      <c r="A63" s="439"/>
      <c r="B63" s="440"/>
      <c r="C63" s="152" t="s">
        <v>108</v>
      </c>
      <c r="D63" s="164">
        <v>0</v>
      </c>
      <c r="E63" s="164">
        <v>0</v>
      </c>
      <c r="F63" s="164">
        <v>0</v>
      </c>
      <c r="G63" s="208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0</v>
      </c>
      <c r="P63" s="164">
        <v>0</v>
      </c>
      <c r="Q63" s="164">
        <v>0</v>
      </c>
      <c r="R63" s="164">
        <v>0</v>
      </c>
    </row>
    <row r="64" spans="1:19" ht="66" customHeight="1">
      <c r="A64" s="207">
        <v>14</v>
      </c>
      <c r="B64" s="445" t="s">
        <v>109</v>
      </c>
      <c r="C64" s="445"/>
      <c r="D64" s="164">
        <v>0</v>
      </c>
      <c r="E64" s="164">
        <v>0</v>
      </c>
      <c r="F64" s="164">
        <v>0</v>
      </c>
      <c r="G64" s="208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4">
        <v>0</v>
      </c>
      <c r="P64" s="164">
        <v>0</v>
      </c>
      <c r="Q64" s="164">
        <v>0</v>
      </c>
      <c r="R64" s="164">
        <v>0</v>
      </c>
    </row>
    <row r="65" spans="1:19" ht="41.25" customHeight="1">
      <c r="A65" s="207">
        <v>15</v>
      </c>
      <c r="B65" s="445" t="s">
        <v>110</v>
      </c>
      <c r="C65" s="445"/>
      <c r="D65" s="209">
        <f t="shared" ref="D65:J65" si="10">D28/D13*100</f>
        <v>1.959634752176012</v>
      </c>
      <c r="E65" s="209">
        <f t="shared" si="10"/>
        <v>2.3282594878968572</v>
      </c>
      <c r="F65" s="209">
        <f t="shared" si="10"/>
        <v>5.5106596300184387</v>
      </c>
      <c r="G65" s="210">
        <f t="shared" si="10"/>
        <v>10.653694792951553</v>
      </c>
      <c r="H65" s="209">
        <f t="shared" si="10"/>
        <v>5.5606564251702828</v>
      </c>
      <c r="I65" s="209">
        <f t="shared" si="10"/>
        <v>6.1248652621215074</v>
      </c>
      <c r="J65" s="209">
        <f t="shared" si="10"/>
        <v>8.2416331421927538</v>
      </c>
      <c r="K65" s="209"/>
      <c r="L65" s="209"/>
      <c r="M65" s="209"/>
      <c r="N65" s="209"/>
      <c r="O65" s="209"/>
      <c r="P65" s="209"/>
      <c r="Q65" s="209"/>
      <c r="R65" s="211"/>
    </row>
    <row r="66" spans="1:19" ht="39" customHeight="1">
      <c r="A66" s="207">
        <v>16</v>
      </c>
      <c r="B66" s="445" t="s">
        <v>111</v>
      </c>
      <c r="C66" s="445"/>
      <c r="D66" s="209">
        <f t="shared" ref="D66:J66" si="11">D61/D13*100</f>
        <v>20.922637275627366</v>
      </c>
      <c r="E66" s="209">
        <f t="shared" si="11"/>
        <v>29.735586739681374</v>
      </c>
      <c r="F66" s="209">
        <f t="shared" si="11"/>
        <v>55.982746471274993</v>
      </c>
      <c r="G66" s="210">
        <f t="shared" si="11"/>
        <v>56.169150560182658</v>
      </c>
      <c r="H66" s="209">
        <f t="shared" si="11"/>
        <v>51.495141720920792</v>
      </c>
      <c r="I66" s="212">
        <f t="shared" si="11"/>
        <v>39.894308486517644</v>
      </c>
      <c r="J66" s="212">
        <f t="shared" si="11"/>
        <v>44.586269457047798</v>
      </c>
      <c r="K66" s="212"/>
      <c r="L66" s="212"/>
      <c r="M66" s="212"/>
      <c r="N66" s="212"/>
      <c r="O66" s="212"/>
      <c r="P66" s="212"/>
      <c r="Q66" s="212"/>
      <c r="R66" s="212"/>
    </row>
    <row r="67" spans="1:19" ht="55.5" customHeight="1">
      <c r="A67" s="213">
        <v>17</v>
      </c>
      <c r="B67" s="445" t="s">
        <v>112</v>
      </c>
      <c r="C67" s="445"/>
      <c r="D67" s="214" t="s">
        <v>75</v>
      </c>
      <c r="E67" s="214" t="s">
        <v>75</v>
      </c>
      <c r="F67" s="214" t="s">
        <v>75</v>
      </c>
      <c r="G67" s="215">
        <f>1/3*((D14+D16-'Prognoza długu'!C25)/WPF!D13+(WPF!E14+WPF!E16-'Prognoza długu'!D25)/WPF!E13+(WPF!F14+WPF!F16-'Prognoza długu'!E25)/WPF!F13)</f>
        <v>0.1910646731760649</v>
      </c>
      <c r="H67" s="214">
        <f>1/3*((E14+E16-'Prognoza długu'!D25)/WPF!E13+(WPF!F14+WPF!F16-'Prognoza długu'!E25)/WPF!F13+(WPF!G14+WPF!G16-'Prognoza długu'!F25)/WPF!G13)</f>
        <v>0.1291721492426357</v>
      </c>
      <c r="I67" s="214">
        <f>1/3*((F14+F16-'Prognoza długu'!E25)/WPF!F13+(WPF!G14+WPF!G16-'Prognoza długu'!F25)/WPF!G13+(WPF!H14+WPF!H16-'Prognoza długu'!G25)/WPF!H13)</f>
        <v>0.10755090502207176</v>
      </c>
      <c r="J67" s="214">
        <f>1/3*((G14+G16-'Prognoza długu'!F25)/WPF!G13+(WPF!H14+WPF!H16-'Prognoza długu'!G25)/WPF!H13+(WPF!I14+WPF!I16-'Prognoza długu'!H25)/WPF!I13)</f>
        <v>0.13116396754738646</v>
      </c>
      <c r="K67" s="214">
        <f>1/3*((H14+H16-'Prognoza długu'!G25)/WPF!H13+(WPF!I14+WPF!I16-'Prognoza długu'!H25)/WPF!I13+(WPF!J14+WPF!J16-'Prognoza długu'!I25)/WPF!J13)</f>
        <v>0.15293535931023675</v>
      </c>
      <c r="L67" s="214">
        <f>1/3*((I14+I16-'Prognoza długu'!H25)/WPF!I13+(WPF!J14+WPF!J16-'Prognoza długu'!I25)/WPF!J13+(WPF!K14+WPF!K16-'Prognoza długu'!J25)/WPF!K13)</f>
        <v>0.12648787994736582</v>
      </c>
      <c r="M67" s="214">
        <f>1/3*((J14+J16-'Prognoza długu'!I25)/WPF!J13+(WPF!K14+WPF!K16-'Prognoza długu'!J25)/WPF!K13+(WPF!L14+WPF!L16-'Prognoza długu'!K25)/WPF!L13)</f>
        <v>8.9839034736803894E-2</v>
      </c>
      <c r="N67" s="214">
        <f>1/3*((K14+K16-'Prognoza długu'!J25)/WPF!K13+(WPF!L14+WPF!L16-'Prognoza długu'!K25)/WPF!L13+(WPF!M14+WPF!M16-'Prognoza długu'!L25)/WPF!M13)</f>
        <v>9.0563778792813215E-2</v>
      </c>
      <c r="O67" s="214">
        <f>1/3*((L14+L16-'Prognoza długu'!K25)/WPF!L13+(WPF!M14+WPF!M16-'Prognoza długu'!L25)/WPF!M13+(WPF!N14+WPF!N16-'Prognoza długu'!M25)/WPF!N13)</f>
        <v>0.11607092520903045</v>
      </c>
      <c r="P67" s="214">
        <f>1/3*((M14+M16-'Prognoza długu'!L25)/WPF!M13+(WPF!N14+WPF!N16-'Prognoza długu'!M25)/WPF!N13+(WPF!O14+WPF!O16-'Prognoza długu'!N25)/WPF!O13)</f>
        <v>0.11340833120666101</v>
      </c>
      <c r="Q67" s="214">
        <f>1/3*((N14+N16-'Prognoza długu'!M25)/WPF!N13+(WPF!O14+WPF!O16-'Prognoza długu'!N25)/WPF!O13+(WPF!P14+WPF!P16-'Prognoza długu'!O25)/WPF!P13)</f>
        <v>8.583968632556295E-2</v>
      </c>
      <c r="R67" s="214">
        <f>1/3*((O14+O16-'Prognoza długu'!N25)/WPF!O13+(WPF!P14+WPF!P16-'Prognoza długu'!O25)/WPF!P13+(WPF!Q14+WPF!Q16-'Prognoza długu'!P25)/WPF!Q13)</f>
        <v>7.1644977265594018E-2</v>
      </c>
    </row>
    <row r="68" spans="1:19" ht="33.75" customHeight="1">
      <c r="A68" s="213">
        <v>18</v>
      </c>
      <c r="B68" s="445" t="s">
        <v>113</v>
      </c>
      <c r="C68" s="445"/>
      <c r="D68" s="216">
        <f>D28/D13</f>
        <v>1.9596347521760121E-2</v>
      </c>
      <c r="E68" s="216">
        <f t="shared" ref="E68:R68" si="12">E28/E13</f>
        <v>2.3282594878968572E-2</v>
      </c>
      <c r="F68" s="216">
        <f t="shared" si="12"/>
        <v>5.5106596300184385E-2</v>
      </c>
      <c r="G68" s="217">
        <f t="shared" si="12"/>
        <v>0.10653694792951553</v>
      </c>
      <c r="H68" s="216">
        <f t="shared" si="12"/>
        <v>5.5606564251702829E-2</v>
      </c>
      <c r="I68" s="216">
        <f t="shared" si="12"/>
        <v>6.1248652621215073E-2</v>
      </c>
      <c r="J68" s="216">
        <f t="shared" si="12"/>
        <v>8.241633142192753E-2</v>
      </c>
      <c r="K68" s="216">
        <f t="shared" si="12"/>
        <v>9.2355238095874023E-2</v>
      </c>
      <c r="L68" s="216">
        <f t="shared" si="12"/>
        <v>8.0470776483156967E-2</v>
      </c>
      <c r="M68" s="216">
        <f t="shared" si="12"/>
        <v>7.0673455927323728E-2</v>
      </c>
      <c r="N68" s="216">
        <f t="shared" si="12"/>
        <v>7.2985582740200561E-2</v>
      </c>
      <c r="O68" s="216">
        <f t="shared" si="12"/>
        <v>7.0458942383407372E-2</v>
      </c>
      <c r="P68" s="216">
        <f t="shared" si="12"/>
        <v>7.3918050835775781E-2</v>
      </c>
      <c r="Q68" s="216">
        <f t="shared" si="12"/>
        <v>6.8157844562947781E-2</v>
      </c>
      <c r="R68" s="216">
        <f t="shared" si="12"/>
        <v>6.5550328071993624E-2</v>
      </c>
    </row>
    <row r="69" spans="1:19" ht="46.5" customHeight="1">
      <c r="A69" s="213">
        <v>19</v>
      </c>
      <c r="B69" s="445" t="s">
        <v>114</v>
      </c>
      <c r="C69" s="445"/>
      <c r="D69" s="214" t="s">
        <v>75</v>
      </c>
      <c r="E69" s="214" t="s">
        <v>75</v>
      </c>
      <c r="F69" s="214" t="s">
        <v>75</v>
      </c>
      <c r="G69" s="215">
        <f>G67-G68</f>
        <v>8.4527725246549376E-2</v>
      </c>
      <c r="H69" s="215">
        <f t="shared" ref="H69:R69" si="13">H67-H68</f>
        <v>7.3565584990932881E-2</v>
      </c>
      <c r="I69" s="215">
        <f t="shared" si="13"/>
        <v>4.630225240085669E-2</v>
      </c>
      <c r="J69" s="215">
        <f t="shared" si="13"/>
        <v>4.8747636125458932E-2</v>
      </c>
      <c r="K69" s="215">
        <f t="shared" si="13"/>
        <v>6.0580121214362723E-2</v>
      </c>
      <c r="L69" s="215">
        <f t="shared" si="13"/>
        <v>4.6017103464208856E-2</v>
      </c>
      <c r="M69" s="215">
        <f t="shared" si="13"/>
        <v>1.9165578809480166E-2</v>
      </c>
      <c r="N69" s="215">
        <f t="shared" si="13"/>
        <v>1.7578196052612655E-2</v>
      </c>
      <c r="O69" s="215">
        <f t="shared" si="13"/>
        <v>4.5611982825623079E-2</v>
      </c>
      <c r="P69" s="215">
        <f t="shared" si="13"/>
        <v>3.9490280370885228E-2</v>
      </c>
      <c r="Q69" s="215">
        <f t="shared" si="13"/>
        <v>1.7681841762615169E-2</v>
      </c>
      <c r="R69" s="215">
        <f t="shared" si="13"/>
        <v>6.0946491936003933E-3</v>
      </c>
    </row>
    <row r="70" spans="1:19" ht="13.5" customHeight="1">
      <c r="A70" s="213">
        <v>20</v>
      </c>
      <c r="B70" s="445" t="s">
        <v>115</v>
      </c>
      <c r="C70" s="445"/>
      <c r="D70" s="218">
        <f>'Prognoza długu'!C24</f>
        <v>93858939.640000001</v>
      </c>
      <c r="E70" s="218">
        <f>'Prognoza długu'!D24</f>
        <v>107175456.56999999</v>
      </c>
      <c r="F70" s="218">
        <f>'Prognoza długu'!E24</f>
        <v>105850665</v>
      </c>
      <c r="G70" s="218">
        <f>'Prognoza długu'!F24</f>
        <v>87934218</v>
      </c>
      <c r="H70" s="218">
        <f>'Prognoza długu'!G24</f>
        <v>139790439</v>
      </c>
      <c r="I70" s="218">
        <f>'Prognoza długu'!H24</f>
        <v>153001903</v>
      </c>
      <c r="J70" s="218">
        <f>'Prognoza długu'!I24</f>
        <v>114418434</v>
      </c>
      <c r="K70" s="218">
        <f>'Prognoza długu'!J24</f>
        <v>100672883</v>
      </c>
      <c r="L70" s="218">
        <f>'Prognoza długu'!K24</f>
        <v>93558339</v>
      </c>
      <c r="M70" s="218">
        <f>'Prognoza długu'!L24</f>
        <v>107548430</v>
      </c>
      <c r="N70" s="218">
        <f>'Prognoza długu'!M24</f>
        <v>111230046</v>
      </c>
      <c r="O70" s="218">
        <f>'Prognoza długu'!N24</f>
        <v>106443210.69</v>
      </c>
      <c r="P70" s="218">
        <f>'Prognoza długu'!O24</f>
        <v>110068797.76000001</v>
      </c>
      <c r="Q70" s="218">
        <f>'Prognoza długu'!P24</f>
        <v>113386621</v>
      </c>
      <c r="R70" s="218">
        <f>'Prognoza długu'!Q24</f>
        <v>124014780.66</v>
      </c>
    </row>
    <row r="71" spans="1:19" ht="13.5" customHeight="1">
      <c r="A71" s="213">
        <v>21</v>
      </c>
      <c r="B71" s="445" t="s">
        <v>116</v>
      </c>
      <c r="C71" s="445"/>
      <c r="D71" s="218">
        <f>'Prognoza długu'!C25</f>
        <v>55125811</v>
      </c>
      <c r="E71" s="218">
        <f>'Prognoza długu'!D25</f>
        <v>63862781</v>
      </c>
      <c r="F71" s="218">
        <f>'Prognoza długu'!E25</f>
        <v>72590083</v>
      </c>
      <c r="G71" s="218">
        <f>'Prognoza długu'!F25</f>
        <v>78155472</v>
      </c>
      <c r="H71" s="218">
        <f>'Prognoza długu'!G25</f>
        <v>80803752</v>
      </c>
      <c r="I71" s="218">
        <f>'Prognoza długu'!H25</f>
        <v>82639444</v>
      </c>
      <c r="J71" s="218">
        <f>'Prognoza długu'!I25</f>
        <v>85867173</v>
      </c>
      <c r="K71" s="218">
        <f>'Prognoza długu'!J25</f>
        <v>88672883</v>
      </c>
      <c r="L71" s="218">
        <f>'Prognoza długu'!K25</f>
        <v>93558339</v>
      </c>
      <c r="M71" s="218">
        <f>'Prognoza długu'!L25</f>
        <v>97548430</v>
      </c>
      <c r="N71" s="218">
        <f>'Prognoza długu'!M25</f>
        <v>101230046</v>
      </c>
      <c r="O71" s="218">
        <f>'Prognoza długu'!N25</f>
        <v>106443210.69</v>
      </c>
      <c r="P71" s="218">
        <f>'Prognoza długu'!O25</f>
        <v>110068797.76000001</v>
      </c>
      <c r="Q71" s="218">
        <f>'Prognoza długu'!P25</f>
        <v>108386621</v>
      </c>
      <c r="R71" s="218">
        <f>'Prognoza długu'!Q25</f>
        <v>119014780.66</v>
      </c>
    </row>
    <row r="72" spans="1:19" ht="35.25" customHeight="1">
      <c r="A72" s="213">
        <v>22</v>
      </c>
      <c r="B72" s="445" t="s">
        <v>147</v>
      </c>
      <c r="C72" s="445"/>
      <c r="D72" s="218">
        <f>D13-D70</f>
        <v>-18662324.640000001</v>
      </c>
      <c r="E72" s="218">
        <f t="shared" ref="E72:Q72" si="14">E13-E70</f>
        <v>-26258788.569999993</v>
      </c>
      <c r="F72" s="218">
        <f t="shared" si="14"/>
        <v>-24150972</v>
      </c>
      <c r="G72" s="218">
        <f t="shared" si="14"/>
        <v>-2838313</v>
      </c>
      <c r="H72" s="218">
        <f t="shared" si="14"/>
        <v>-16000000</v>
      </c>
      <c r="I72" s="218">
        <f t="shared" si="14"/>
        <v>1935040</v>
      </c>
      <c r="J72" s="218">
        <f t="shared" si="14"/>
        <v>7466899</v>
      </c>
      <c r="K72" s="218">
        <f t="shared" si="14"/>
        <v>7156453</v>
      </c>
      <c r="L72" s="218">
        <f t="shared" si="14"/>
        <v>6200000</v>
      </c>
      <c r="M72" s="218">
        <f t="shared" si="14"/>
        <v>6300000</v>
      </c>
      <c r="N72" s="218">
        <f t="shared" si="14"/>
        <v>6876170</v>
      </c>
      <c r="O72" s="218">
        <f t="shared" si="14"/>
        <v>6095360.3100000024</v>
      </c>
      <c r="P72" s="218">
        <f t="shared" si="14"/>
        <v>7083855.2399999946</v>
      </c>
      <c r="Q72" s="218">
        <f t="shared" si="14"/>
        <v>7083870</v>
      </c>
      <c r="R72" s="218">
        <f>R13-R70</f>
        <v>7548415.3400000036</v>
      </c>
    </row>
    <row r="73" spans="1:19" ht="15" customHeight="1">
      <c r="A73" s="207">
        <v>23</v>
      </c>
      <c r="B73" s="431" t="s">
        <v>243</v>
      </c>
      <c r="C73" s="432"/>
      <c r="D73" s="164">
        <f>SUM(D74:D78)</f>
        <v>3355000</v>
      </c>
      <c r="E73" s="164">
        <f t="shared" ref="E73:H73" si="15">SUM(E74:E78)</f>
        <v>26258789</v>
      </c>
      <c r="F73" s="164">
        <f t="shared" si="15"/>
        <v>24150972</v>
      </c>
      <c r="G73" s="164">
        <f t="shared" si="15"/>
        <v>2838313</v>
      </c>
      <c r="H73" s="164">
        <f t="shared" si="15"/>
        <v>16000000</v>
      </c>
      <c r="I73" s="218"/>
      <c r="J73" s="218"/>
      <c r="K73" s="218"/>
      <c r="L73" s="218"/>
      <c r="M73" s="218"/>
      <c r="N73" s="218"/>
      <c r="O73" s="218"/>
      <c r="P73" s="218"/>
      <c r="Q73" s="218"/>
      <c r="R73" s="218"/>
    </row>
    <row r="74" spans="1:19" ht="15" customHeight="1">
      <c r="A74" s="219" t="s">
        <v>71</v>
      </c>
      <c r="B74" s="433" t="s">
        <v>94</v>
      </c>
      <c r="C74" s="432"/>
      <c r="D74" s="147">
        <v>3355000</v>
      </c>
      <c r="E74" s="147">
        <v>7546170</v>
      </c>
      <c r="F74" s="147">
        <v>6330000</v>
      </c>
      <c r="G74" s="147"/>
      <c r="H74" s="147">
        <v>3000000</v>
      </c>
      <c r="I74" s="218"/>
      <c r="J74" s="218"/>
      <c r="K74" s="218"/>
      <c r="L74" s="218"/>
      <c r="M74" s="218"/>
      <c r="N74" s="218"/>
      <c r="O74" s="218"/>
      <c r="P74" s="218"/>
      <c r="Q74" s="218"/>
      <c r="R74" s="218"/>
    </row>
    <row r="75" spans="1:19" ht="15" customHeight="1">
      <c r="A75" s="219" t="s">
        <v>73</v>
      </c>
      <c r="B75" s="433" t="s">
        <v>95</v>
      </c>
      <c r="C75" s="432"/>
      <c r="D75" s="147"/>
      <c r="E75" s="147">
        <v>4000000</v>
      </c>
      <c r="F75" s="147">
        <v>4810000</v>
      </c>
      <c r="G75" s="147"/>
      <c r="H75" s="147">
        <v>6000000</v>
      </c>
      <c r="I75" s="218"/>
      <c r="J75" s="218"/>
      <c r="K75" s="218"/>
      <c r="L75" s="218"/>
      <c r="M75" s="218"/>
      <c r="N75" s="218"/>
      <c r="O75" s="218"/>
      <c r="P75" s="218"/>
      <c r="Q75" s="218"/>
      <c r="R75" s="218"/>
    </row>
    <row r="76" spans="1:19" ht="15" customHeight="1">
      <c r="A76" s="219" t="s">
        <v>81</v>
      </c>
      <c r="B76" s="433" t="s">
        <v>241</v>
      </c>
      <c r="C76" s="432"/>
      <c r="D76" s="147"/>
      <c r="E76" s="147">
        <v>2699265</v>
      </c>
      <c r="F76" s="147"/>
      <c r="G76" s="147"/>
      <c r="H76" s="147"/>
      <c r="I76" s="218"/>
      <c r="J76" s="218"/>
      <c r="K76" s="218"/>
      <c r="L76" s="218"/>
      <c r="M76" s="218"/>
      <c r="N76" s="218"/>
      <c r="O76" s="218"/>
      <c r="P76" s="218"/>
      <c r="Q76" s="218"/>
      <c r="R76" s="218"/>
    </row>
    <row r="77" spans="1:19" ht="15" customHeight="1">
      <c r="A77" s="219" t="s">
        <v>84</v>
      </c>
      <c r="B77" s="447" t="s">
        <v>103</v>
      </c>
      <c r="C77" s="432"/>
      <c r="D77" s="147"/>
      <c r="E77" s="147">
        <v>12013354</v>
      </c>
      <c r="F77" s="147"/>
      <c r="G77" s="147"/>
      <c r="H77" s="147"/>
      <c r="I77" s="218"/>
      <c r="J77" s="218"/>
      <c r="K77" s="218"/>
      <c r="L77" s="218"/>
      <c r="M77" s="218"/>
      <c r="N77" s="218"/>
      <c r="O77" s="218"/>
      <c r="P77" s="218"/>
      <c r="Q77" s="218"/>
      <c r="R77" s="218"/>
    </row>
    <row r="78" spans="1:19" ht="15" customHeight="1">
      <c r="A78" s="219" t="s">
        <v>149</v>
      </c>
      <c r="B78" s="448" t="s">
        <v>246</v>
      </c>
      <c r="C78" s="449"/>
      <c r="D78" s="147"/>
      <c r="E78" s="147"/>
      <c r="F78" s="147">
        <v>13010972</v>
      </c>
      <c r="G78" s="147">
        <v>2838313</v>
      </c>
      <c r="H78" s="147">
        <v>7000000</v>
      </c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506"/>
    </row>
    <row r="79" spans="1:19" ht="15" customHeight="1">
      <c r="A79" s="207">
        <v>24</v>
      </c>
      <c r="B79" s="431" t="s">
        <v>244</v>
      </c>
      <c r="C79" s="432"/>
      <c r="D79" s="164"/>
      <c r="E79" s="164"/>
      <c r="F79" s="164"/>
      <c r="G79" s="164"/>
      <c r="H79" s="164"/>
      <c r="I79" s="218">
        <f>SUM(I80:I82)</f>
        <v>1935040</v>
      </c>
      <c r="J79" s="218">
        <f t="shared" ref="J79:R79" si="16">SUM(J80:J82)</f>
        <v>7466899</v>
      </c>
      <c r="K79" s="218">
        <f t="shared" si="16"/>
        <v>7156453</v>
      </c>
      <c r="L79" s="218">
        <f t="shared" si="16"/>
        <v>6200000</v>
      </c>
      <c r="M79" s="218">
        <f t="shared" si="16"/>
        <v>6300000</v>
      </c>
      <c r="N79" s="218">
        <f t="shared" si="16"/>
        <v>6876170</v>
      </c>
      <c r="O79" s="218">
        <f t="shared" si="16"/>
        <v>6095360</v>
      </c>
      <c r="P79" s="218">
        <f t="shared" si="16"/>
        <v>7083855</v>
      </c>
      <c r="Q79" s="218">
        <f t="shared" si="16"/>
        <v>7083870</v>
      </c>
      <c r="R79" s="218">
        <f t="shared" si="16"/>
        <v>7548415</v>
      </c>
      <c r="S79" s="507"/>
    </row>
    <row r="80" spans="1:19" ht="15" customHeight="1">
      <c r="A80" s="220" t="s">
        <v>71</v>
      </c>
      <c r="B80" s="433" t="s">
        <v>240</v>
      </c>
      <c r="C80" s="432"/>
      <c r="D80" s="173"/>
      <c r="E80" s="149"/>
      <c r="F80" s="149"/>
      <c r="G80" s="221"/>
      <c r="H80" s="149"/>
      <c r="I80" s="222">
        <v>1935040</v>
      </c>
      <c r="J80" s="222">
        <f>J30</f>
        <v>3866899</v>
      </c>
      <c r="K80" s="222">
        <f t="shared" ref="K80:R80" si="17">K30</f>
        <v>3506453</v>
      </c>
      <c r="L80" s="222">
        <f t="shared" si="17"/>
        <v>2550000</v>
      </c>
      <c r="M80" s="222">
        <f t="shared" si="17"/>
        <v>2550000</v>
      </c>
      <c r="N80" s="222">
        <f t="shared" si="17"/>
        <v>2401170</v>
      </c>
      <c r="O80" s="222">
        <f t="shared" si="17"/>
        <v>262028</v>
      </c>
      <c r="P80" s="222">
        <f t="shared" si="17"/>
        <v>1050523</v>
      </c>
      <c r="Q80" s="222">
        <f t="shared" si="17"/>
        <v>1000000</v>
      </c>
      <c r="R80" s="222">
        <f t="shared" si="17"/>
        <v>423949</v>
      </c>
      <c r="S80" s="506"/>
    </row>
    <row r="81" spans="1:18" ht="15" customHeight="1">
      <c r="A81" s="220" t="s">
        <v>73</v>
      </c>
      <c r="B81" s="433" t="s">
        <v>245</v>
      </c>
      <c r="C81" s="432"/>
      <c r="D81" s="173"/>
      <c r="E81" s="149"/>
      <c r="F81" s="149"/>
      <c r="G81" s="221"/>
      <c r="H81" s="149"/>
      <c r="I81" s="222"/>
      <c r="J81" s="222">
        <f>J31</f>
        <v>600000</v>
      </c>
      <c r="K81" s="222">
        <f t="shared" ref="K81:R81" si="18">K31</f>
        <v>650000</v>
      </c>
      <c r="L81" s="222">
        <f t="shared" si="18"/>
        <v>650000</v>
      </c>
      <c r="M81" s="222">
        <f t="shared" si="18"/>
        <v>750000</v>
      </c>
      <c r="N81" s="222">
        <f t="shared" si="18"/>
        <v>1475000</v>
      </c>
      <c r="O81" s="222">
        <f t="shared" si="18"/>
        <v>833332</v>
      </c>
      <c r="P81" s="222">
        <f t="shared" si="18"/>
        <v>3333332</v>
      </c>
      <c r="Q81" s="222">
        <f t="shared" si="18"/>
        <v>3383870</v>
      </c>
      <c r="R81" s="222">
        <f t="shared" si="18"/>
        <v>3024466</v>
      </c>
    </row>
    <row r="82" spans="1:18" ht="15" customHeight="1">
      <c r="A82" s="220" t="s">
        <v>81</v>
      </c>
      <c r="B82" s="433" t="s">
        <v>96</v>
      </c>
      <c r="C82" s="432"/>
      <c r="D82" s="173"/>
      <c r="E82" s="149"/>
      <c r="F82" s="149"/>
      <c r="G82" s="221"/>
      <c r="H82" s="149"/>
      <c r="I82" s="222"/>
      <c r="J82" s="222">
        <f>J32</f>
        <v>3000000</v>
      </c>
      <c r="K82" s="222">
        <f t="shared" ref="K82:R82" si="19">K32</f>
        <v>3000000</v>
      </c>
      <c r="L82" s="222">
        <f t="shared" si="19"/>
        <v>3000000</v>
      </c>
      <c r="M82" s="222">
        <f t="shared" si="19"/>
        <v>3000000</v>
      </c>
      <c r="N82" s="222">
        <f t="shared" si="19"/>
        <v>3000000</v>
      </c>
      <c r="O82" s="222">
        <f t="shared" si="19"/>
        <v>5000000</v>
      </c>
      <c r="P82" s="222">
        <f t="shared" si="19"/>
        <v>2700000</v>
      </c>
      <c r="Q82" s="222">
        <f t="shared" si="19"/>
        <v>2700000</v>
      </c>
      <c r="R82" s="222">
        <f t="shared" si="19"/>
        <v>4100000</v>
      </c>
    </row>
    <row r="83" spans="1:18" ht="19.5" customHeight="1">
      <c r="A83" s="213">
        <v>25</v>
      </c>
      <c r="B83" s="445" t="s">
        <v>117</v>
      </c>
      <c r="C83" s="445"/>
      <c r="D83" s="218">
        <f>D53</f>
        <v>3355000</v>
      </c>
      <c r="E83" s="218">
        <f t="shared" ref="E83:R83" si="20">E53</f>
        <v>11546170</v>
      </c>
      <c r="F83" s="218">
        <f t="shared" si="20"/>
        <v>25140000</v>
      </c>
      <c r="G83" s="223">
        <f t="shared" si="20"/>
        <v>9000000</v>
      </c>
      <c r="H83" s="218">
        <f t="shared" si="20"/>
        <v>20500000</v>
      </c>
      <c r="I83" s="218">
        <f t="shared" si="20"/>
        <v>5000000</v>
      </c>
      <c r="J83" s="218">
        <f t="shared" si="20"/>
        <v>0</v>
      </c>
      <c r="K83" s="218">
        <f t="shared" si="20"/>
        <v>0</v>
      </c>
      <c r="L83" s="218">
        <f t="shared" si="20"/>
        <v>0</v>
      </c>
      <c r="M83" s="218">
        <f t="shared" si="20"/>
        <v>0</v>
      </c>
      <c r="N83" s="218">
        <f t="shared" si="20"/>
        <v>0</v>
      </c>
      <c r="O83" s="218">
        <f t="shared" si="20"/>
        <v>0</v>
      </c>
      <c r="P83" s="218">
        <f t="shared" si="20"/>
        <v>0</v>
      </c>
      <c r="Q83" s="218">
        <f t="shared" si="20"/>
        <v>0</v>
      </c>
      <c r="R83" s="218">
        <f t="shared" si="20"/>
        <v>0</v>
      </c>
    </row>
    <row r="84" spans="1:18" ht="19.5" customHeight="1">
      <c r="A84" s="224">
        <v>26</v>
      </c>
      <c r="B84" s="446" t="s">
        <v>118</v>
      </c>
      <c r="C84" s="446"/>
      <c r="D84" s="225">
        <f>D29</f>
        <v>1167600</v>
      </c>
      <c r="E84" s="225">
        <f t="shared" ref="E84:Q84" si="21">E29</f>
        <v>1422000</v>
      </c>
      <c r="F84" s="225">
        <f t="shared" si="21"/>
        <v>3463314</v>
      </c>
      <c r="G84" s="226">
        <f t="shared" si="21"/>
        <v>6940085</v>
      </c>
      <c r="H84" s="225">
        <f t="shared" si="21"/>
        <v>4551585</v>
      </c>
      <c r="I84" s="225">
        <f t="shared" si="21"/>
        <v>6935040</v>
      </c>
      <c r="J84" s="225">
        <f t="shared" si="21"/>
        <v>7466899</v>
      </c>
      <c r="K84" s="225">
        <f t="shared" si="21"/>
        <v>7156453</v>
      </c>
      <c r="L84" s="225">
        <f t="shared" si="21"/>
        <v>6200000</v>
      </c>
      <c r="M84" s="225">
        <f t="shared" si="21"/>
        <v>6300000</v>
      </c>
      <c r="N84" s="225">
        <f t="shared" si="21"/>
        <v>6876170</v>
      </c>
      <c r="O84" s="225">
        <f t="shared" si="21"/>
        <v>6095360</v>
      </c>
      <c r="P84" s="225">
        <f t="shared" si="21"/>
        <v>7083855</v>
      </c>
      <c r="Q84" s="225">
        <f t="shared" si="21"/>
        <v>7083870</v>
      </c>
      <c r="R84" s="225">
        <f>R29</f>
        <v>7548415</v>
      </c>
    </row>
    <row r="85" spans="1:18" ht="15.75">
      <c r="A85" s="227"/>
      <c r="B85" s="228"/>
      <c r="C85" s="229"/>
      <c r="D85" s="230"/>
      <c r="E85" s="231"/>
      <c r="F85" s="231"/>
      <c r="G85" s="230"/>
      <c r="H85" s="231"/>
      <c r="I85" s="231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1:18">
      <c r="A86" s="139"/>
      <c r="B86" s="139"/>
      <c r="C86" s="136"/>
      <c r="D86" s="137"/>
      <c r="E86" s="138"/>
      <c r="F86" s="138"/>
      <c r="G86" s="137"/>
      <c r="H86" s="138"/>
      <c r="I86" s="138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1:18">
      <c r="A87" s="139"/>
      <c r="B87" s="139"/>
      <c r="C87" s="136"/>
      <c r="D87" s="137"/>
      <c r="E87" s="138"/>
      <c r="F87" s="138"/>
      <c r="G87" s="137"/>
      <c r="H87" s="138"/>
      <c r="I87" s="138"/>
      <c r="J87" s="139"/>
      <c r="K87" s="139"/>
      <c r="L87" s="139"/>
      <c r="M87" s="139"/>
      <c r="N87" s="139"/>
      <c r="O87" s="139"/>
      <c r="P87" s="139"/>
      <c r="Q87" s="139"/>
      <c r="R87" s="139"/>
    </row>
    <row r="88" spans="1:18">
      <c r="A88" s="139"/>
      <c r="B88" s="139"/>
      <c r="C88" s="136"/>
      <c r="D88" s="137"/>
      <c r="E88" s="138"/>
      <c r="F88" s="138"/>
      <c r="G88" s="137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</row>
    <row r="89" spans="1:18">
      <c r="D89" s="84"/>
      <c r="E89" s="21"/>
      <c r="F89" s="21"/>
      <c r="G89" s="84"/>
      <c r="H89" s="21"/>
      <c r="I89" s="21"/>
    </row>
  </sheetData>
  <mergeCells count="84">
    <mergeCell ref="D9:R9"/>
    <mergeCell ref="B9:C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  <mergeCell ref="K11:K12"/>
    <mergeCell ref="J11:J12"/>
    <mergeCell ref="I11:I12"/>
    <mergeCell ref="R11:R1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34:C34"/>
    <mergeCell ref="B15:C15"/>
    <mergeCell ref="B17:C17"/>
    <mergeCell ref="B18:B2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A49:A52"/>
    <mergeCell ref="B49:C52"/>
    <mergeCell ref="D49:R49"/>
    <mergeCell ref="H50:R50"/>
    <mergeCell ref="D51:D52"/>
    <mergeCell ref="R51:R52"/>
    <mergeCell ref="P51:P52"/>
    <mergeCell ref="Q51:Q52"/>
    <mergeCell ref="J51:J52"/>
    <mergeCell ref="K51:K52"/>
    <mergeCell ref="O51:O52"/>
    <mergeCell ref="B62:B63"/>
    <mergeCell ref="L51:L52"/>
    <mergeCell ref="M51:M52"/>
    <mergeCell ref="N51:N52"/>
    <mergeCell ref="E51:E52"/>
    <mergeCell ref="F51:F52"/>
    <mergeCell ref="H51:H52"/>
    <mergeCell ref="I51:I52"/>
    <mergeCell ref="B53:C53"/>
    <mergeCell ref="B54:B59"/>
    <mergeCell ref="B60:C60"/>
    <mergeCell ref="B61:C61"/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</mergeCells>
  <printOptions horizontalCentered="1" verticalCentered="1"/>
  <pageMargins left="0.25" right="0.19652777777777777" top="0.47222222222222221" bottom="0.47222222222222221" header="0.51180555555555551" footer="0.51180555555555551"/>
  <pageSetup paperSize="9" scale="50" firstPageNumber="0" fitToHeight="2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topLeftCell="H1" zoomScale="90" zoomScaleNormal="90" workbookViewId="0">
      <selection sqref="A1:Q57"/>
    </sheetView>
  </sheetViews>
  <sheetFormatPr defaultColWidth="11.5703125" defaultRowHeight="12.75"/>
  <cols>
    <col min="1" max="1" width="3.7109375" customWidth="1"/>
    <col min="2" max="2" width="39.85546875" customWidth="1"/>
    <col min="3" max="3" width="12.7109375" customWidth="1"/>
    <col min="4" max="5" width="11.7109375" customWidth="1"/>
    <col min="6" max="6" width="12.7109375" customWidth="1"/>
    <col min="7" max="7" width="11.7109375" customWidth="1"/>
    <col min="8" max="8" width="12.7109375" customWidth="1"/>
    <col min="9" max="9" width="12.28515625" customWidth="1"/>
    <col min="10" max="10" width="11.85546875" customWidth="1"/>
    <col min="11" max="11" width="12.28515625" customWidth="1"/>
    <col min="12" max="12" width="12.85546875" customWidth="1"/>
    <col min="13" max="13" width="11.7109375" customWidth="1"/>
    <col min="14" max="14" width="11.85546875" customWidth="1"/>
    <col min="15" max="15" width="12.42578125" customWidth="1"/>
    <col min="16" max="16" width="12.28515625" customWidth="1"/>
    <col min="17" max="17" width="12.42578125" customWidth="1"/>
  </cols>
  <sheetData>
    <row r="1" spans="1:20" ht="17.2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15" t="s">
        <v>119</v>
      </c>
      <c r="N1" s="115"/>
      <c r="O1" s="237"/>
      <c r="P1" s="237"/>
      <c r="Q1" s="237"/>
    </row>
    <row r="2" spans="1:20" ht="2.2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0"/>
      <c r="N2" s="121"/>
      <c r="O2" s="237"/>
      <c r="P2" s="237"/>
      <c r="Q2" s="237"/>
    </row>
    <row r="3" spans="1:20" ht="17.25" customHeight="1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25" t="s">
        <v>238</v>
      </c>
      <c r="N3" s="121"/>
      <c r="O3" s="237"/>
      <c r="P3" s="237"/>
      <c r="Q3" s="237"/>
    </row>
    <row r="4" spans="1:20" ht="17.2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125" t="s">
        <v>51</v>
      </c>
      <c r="N4" s="121"/>
      <c r="O4" s="237"/>
      <c r="P4" s="237"/>
      <c r="Q4" s="237"/>
    </row>
    <row r="5" spans="1:20" ht="17.2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25" t="s">
        <v>239</v>
      </c>
      <c r="N5" s="121"/>
      <c r="O5" s="237"/>
      <c r="P5" s="237"/>
      <c r="Q5" s="237"/>
    </row>
    <row r="6" spans="1:20" ht="39.950000000000003" customHeight="1">
      <c r="A6" s="466" t="s">
        <v>251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</row>
    <row r="7" spans="1:20" ht="17.25" customHeight="1">
      <c r="A7" s="467" t="s">
        <v>120</v>
      </c>
      <c r="B7" s="468" t="s">
        <v>66</v>
      </c>
      <c r="C7" s="469" t="s">
        <v>67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</row>
    <row r="8" spans="1:20" ht="17.25" customHeight="1">
      <c r="A8" s="467"/>
      <c r="B8" s="468"/>
      <c r="C8" s="471" t="s">
        <v>68</v>
      </c>
      <c r="D8" s="472"/>
      <c r="E8" s="472"/>
      <c r="F8" s="473"/>
      <c r="G8" s="470" t="s">
        <v>121</v>
      </c>
      <c r="H8" s="470"/>
      <c r="I8" s="470"/>
      <c r="J8" s="470"/>
      <c r="K8" s="470"/>
      <c r="L8" s="470"/>
      <c r="M8" s="470"/>
      <c r="N8" s="470"/>
      <c r="O8" s="470"/>
      <c r="P8" s="470"/>
      <c r="Q8" s="470"/>
    </row>
    <row r="9" spans="1:20" ht="17.25" customHeight="1">
      <c r="A9" s="467"/>
      <c r="B9" s="468"/>
      <c r="C9" s="238">
        <v>2007</v>
      </c>
      <c r="D9" s="238">
        <v>2008</v>
      </c>
      <c r="E9" s="238">
        <v>2009</v>
      </c>
      <c r="F9" s="239">
        <v>2010</v>
      </c>
      <c r="G9" s="238">
        <v>2011</v>
      </c>
      <c r="H9" s="238">
        <v>2012</v>
      </c>
      <c r="I9" s="238">
        <v>2013</v>
      </c>
      <c r="J9" s="238">
        <v>2014</v>
      </c>
      <c r="K9" s="238">
        <v>2015</v>
      </c>
      <c r="L9" s="238">
        <v>2016</v>
      </c>
      <c r="M9" s="238">
        <v>2017</v>
      </c>
      <c r="N9" s="238">
        <v>2018</v>
      </c>
      <c r="O9" s="238">
        <v>2019</v>
      </c>
      <c r="P9" s="238">
        <v>2020</v>
      </c>
      <c r="Q9" s="240">
        <v>2021</v>
      </c>
    </row>
    <row r="10" spans="1:20" ht="20.25" customHeight="1">
      <c r="A10" s="241">
        <v>1</v>
      </c>
      <c r="B10" s="242" t="s">
        <v>122</v>
      </c>
      <c r="C10" s="243">
        <v>15733115</v>
      </c>
      <c r="D10" s="243">
        <v>24061046</v>
      </c>
      <c r="E10" s="243">
        <v>45737732</v>
      </c>
      <c r="F10" s="243">
        <f>E10+WPF!G53-WPF!G29</f>
        <v>47797647</v>
      </c>
      <c r="G10" s="243">
        <f>F10+WPF!H53-WPF!H29</f>
        <v>63746062</v>
      </c>
      <c r="H10" s="243">
        <f>G10+WPF!I53-WPF!I29</f>
        <v>61811022</v>
      </c>
      <c r="I10" s="243">
        <f>H10+WPF!J53-WPF!J29</f>
        <v>54344123</v>
      </c>
      <c r="J10" s="243">
        <f>I10+WPF!K53-WPF!K29</f>
        <v>47187670</v>
      </c>
      <c r="K10" s="243">
        <f>J10+WPF!L53-WPF!L29</f>
        <v>40987670</v>
      </c>
      <c r="L10" s="243">
        <f>K10+WPF!M53-WPF!M29</f>
        <v>34687670</v>
      </c>
      <c r="M10" s="243">
        <f>L10+WPF!N53-WPF!N29</f>
        <v>27811500</v>
      </c>
      <c r="N10" s="243">
        <f>M10+WPF!O53-WPF!O29</f>
        <v>21716140</v>
      </c>
      <c r="O10" s="243">
        <f>N10+WPF!P53-WPF!P29</f>
        <v>14632285</v>
      </c>
      <c r="P10" s="243">
        <f>O10+WPF!Q53-WPF!Q29</f>
        <v>7548415</v>
      </c>
      <c r="Q10" s="244"/>
    </row>
    <row r="11" spans="1:20" ht="33.75" customHeight="1">
      <c r="A11" s="245" t="s">
        <v>71</v>
      </c>
      <c r="B11" s="106" t="s">
        <v>123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5">
        <v>0</v>
      </c>
    </row>
    <row r="12" spans="1:20" ht="42" customHeight="1">
      <c r="A12" s="245" t="s">
        <v>73</v>
      </c>
      <c r="B12" s="106" t="s">
        <v>124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5">
        <v>0</v>
      </c>
      <c r="T12" s="85"/>
    </row>
    <row r="13" spans="1:20" ht="55.5" customHeight="1">
      <c r="A13" s="245" t="s">
        <v>125</v>
      </c>
      <c r="B13" s="106" t="s">
        <v>126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5">
        <v>0</v>
      </c>
    </row>
    <row r="14" spans="1:20" ht="24" customHeight="1">
      <c r="A14" s="245" t="s">
        <v>127</v>
      </c>
      <c r="B14" s="106" t="s">
        <v>128</v>
      </c>
      <c r="C14" s="103">
        <f>WPF!D29</f>
        <v>1167600</v>
      </c>
      <c r="D14" s="103">
        <f>WPF!E29</f>
        <v>1422000</v>
      </c>
      <c r="E14" s="103">
        <f>WPF!F29</f>
        <v>3463314</v>
      </c>
      <c r="F14" s="103">
        <f>WPF!G29</f>
        <v>6940085</v>
      </c>
      <c r="G14" s="103">
        <f>WPF!H29</f>
        <v>4551585</v>
      </c>
      <c r="H14" s="103">
        <f>WPF!I29</f>
        <v>6935040</v>
      </c>
      <c r="I14" s="103">
        <f>WPF!J29</f>
        <v>7466899</v>
      </c>
      <c r="J14" s="103">
        <f>WPF!K29</f>
        <v>7156453</v>
      </c>
      <c r="K14" s="103">
        <f>WPF!L29</f>
        <v>6200000</v>
      </c>
      <c r="L14" s="103">
        <f>WPF!M29</f>
        <v>6300000</v>
      </c>
      <c r="M14" s="103">
        <f>WPF!N29</f>
        <v>6876170</v>
      </c>
      <c r="N14" s="103">
        <f>WPF!O29</f>
        <v>6095360</v>
      </c>
      <c r="O14" s="103">
        <f>WPF!P29</f>
        <v>7083855</v>
      </c>
      <c r="P14" s="103">
        <f>WPF!Q29</f>
        <v>7083870</v>
      </c>
      <c r="Q14" s="105">
        <f>WPF!R29</f>
        <v>7548415</v>
      </c>
    </row>
    <row r="15" spans="1:20" ht="24" customHeight="1">
      <c r="A15" s="246" t="s">
        <v>129</v>
      </c>
      <c r="B15" s="247" t="s">
        <v>130</v>
      </c>
      <c r="C15" s="248"/>
      <c r="D15" s="248"/>
      <c r="E15" s="248"/>
      <c r="F15" s="249">
        <f>1/3*((WPF!D14+WPF!D16-'Prognoza długu'!C25)/WPF!D13+(WPF!E14+WPF!E16-'Prognoza długu'!D25)/WPF!E13+(WPF!F14+WPF!F16-'Prognoza długu'!E25)/WPF!F13)</f>
        <v>0.1910646731760649</v>
      </c>
      <c r="G15" s="249">
        <f>1/3*((WPF!E14+WPF!E16-'Prognoza długu'!D25)/WPF!E13+(WPF!F14+WPF!F16-'Prognoza długu'!E25)/WPF!F13+(WPF!G14+WPF!G16-'Prognoza długu'!F25)/WPF!G13)</f>
        <v>0.1291721492426357</v>
      </c>
      <c r="H15" s="249">
        <f>1/3*((WPF!F14+WPF!F16-'Prognoza długu'!E25)/WPF!F13+(WPF!G14+WPF!G16-'Prognoza długu'!F25)/WPF!G13+(WPF!H14+WPF!H16-'Prognoza długu'!G25)/WPF!H13)</f>
        <v>0.10755090502207176</v>
      </c>
      <c r="I15" s="249">
        <f>1/3*((WPF!G14+WPF!G16-'Prognoza długu'!F25)/WPF!G13+(WPF!H14+WPF!H16-'Prognoza długu'!G25)/WPF!H13+(WPF!I14+WPF!I16-'Prognoza długu'!H25)/WPF!I13)</f>
        <v>0.13116396754738646</v>
      </c>
      <c r="J15" s="249">
        <f>1/3*((WPF!H14+WPF!H16-'Prognoza długu'!G25)/WPF!H13+(WPF!I14+WPF!I16-'Prognoza długu'!H25)/WPF!I13+(WPF!J14+WPF!J16-'Prognoza długu'!I25)/WPF!J13)</f>
        <v>0.15293535931023675</v>
      </c>
      <c r="K15" s="249">
        <f>1/3*((WPF!I14+WPF!I16-'Prognoza długu'!H25)/WPF!I13+(WPF!J14+WPF!J16-'Prognoza długu'!I25)/WPF!J13+(WPF!K14+WPF!K16-'Prognoza długu'!J25)/WPF!K13)</f>
        <v>0.12648787994736582</v>
      </c>
      <c r="L15" s="249">
        <f>1/3*((WPF!J14+WPF!J16-'Prognoza długu'!I25)/WPF!J13+(WPF!K14+WPF!K16-'Prognoza długu'!J25)/WPF!K13+(WPF!L14+WPF!L16-'Prognoza długu'!K25)/WPF!L13)</f>
        <v>8.9839034736803894E-2</v>
      </c>
      <c r="M15" s="249">
        <f>1/3*((WPF!K14+WPF!K16-'Prognoza długu'!J25)/WPF!K13+(WPF!L14+WPF!L16-'Prognoza długu'!K25)/WPF!L13+(WPF!M14+WPF!M16-'Prognoza długu'!L25)/WPF!M13)</f>
        <v>9.0563778792813215E-2</v>
      </c>
      <c r="N15" s="249">
        <f>1/3*((WPF!L14+WPF!L16-'Prognoza długu'!K25)/WPF!L13+(WPF!M14+WPF!M16-'Prognoza długu'!L25)/WPF!M13+(WPF!N14+WPF!N16-'Prognoza długu'!M25)/WPF!N13)</f>
        <v>0.11607092520903045</v>
      </c>
      <c r="O15" s="249">
        <f>1/3*((WPF!M14+WPF!M16-'Prognoza długu'!L25)/WPF!M13+(WPF!N14+WPF!N16-'Prognoza długu'!M25)/WPF!N13+(WPF!O14+WPF!O16-'Prognoza długu'!N25)/WPF!O13)</f>
        <v>0.11340833120666101</v>
      </c>
      <c r="P15" s="249">
        <f>1/3*((WPF!N14+WPF!N16-'Prognoza długu'!M25)/WPF!N13+(WPF!O14+WPF!O16-'Prognoza długu'!N25)/WPF!O13+(WPF!P14+WPF!P16-'Prognoza długu'!O25)/WPF!P13)</f>
        <v>8.583968632556295E-2</v>
      </c>
      <c r="Q15" s="250">
        <f>1/3*((WPF!O14+WPF!O16-'Prognoza długu'!N25)/WPF!O13+(WPF!P14+WPF!P16-'Prognoza długu'!O25)/WPF!P13+(WPF!Q14+WPF!Q16-'Prognoza długu'!P25)/WPF!Q13)</f>
        <v>7.1644977265594018E-2</v>
      </c>
    </row>
    <row r="16" spans="1:20" ht="30.75" customHeight="1">
      <c r="A16" s="246" t="s">
        <v>131</v>
      </c>
      <c r="B16" s="247" t="s">
        <v>132</v>
      </c>
      <c r="C16" s="248" t="s">
        <v>86</v>
      </c>
      <c r="D16" s="248" t="s">
        <v>86</v>
      </c>
      <c r="E16" s="248" t="s">
        <v>86</v>
      </c>
      <c r="F16" s="249">
        <f>(WPF!G33+WPF!G29)/WPF!G13</f>
        <v>0.10653694792951553</v>
      </c>
      <c r="G16" s="249">
        <f>(WPF!H33+WPF!H29)/WPF!H13</f>
        <v>5.5606564251702829E-2</v>
      </c>
      <c r="H16" s="249">
        <f>(WPF!I33+WPF!I29)/WPF!I13</f>
        <v>6.1248652621215073E-2</v>
      </c>
      <c r="I16" s="249">
        <f>(WPF!J33+WPF!J29)/WPF!J13</f>
        <v>8.241633142192753E-2</v>
      </c>
      <c r="J16" s="249">
        <f>(WPF!K33+WPF!K29)/WPF!K13</f>
        <v>9.2355238095874023E-2</v>
      </c>
      <c r="K16" s="249">
        <f>(WPF!L33+WPF!L29)/WPF!L13</f>
        <v>8.0470776483156967E-2</v>
      </c>
      <c r="L16" s="249">
        <f>(WPF!M33+WPF!M29)/WPF!M13</f>
        <v>7.0673455927323728E-2</v>
      </c>
      <c r="M16" s="249">
        <f>(WPF!N33+WPF!N29)/WPF!N13</f>
        <v>7.2985582740200561E-2</v>
      </c>
      <c r="N16" s="249">
        <f>(WPF!O33+WPF!O29)/WPF!O13</f>
        <v>7.0458942383407372E-2</v>
      </c>
      <c r="O16" s="249">
        <f>(WPF!P33+WPF!P29)/WPF!P13</f>
        <v>7.3918050835775781E-2</v>
      </c>
      <c r="P16" s="249">
        <f>(WPF!Q33+WPF!Q29)/WPF!Q13</f>
        <v>6.8157844562947781E-2</v>
      </c>
      <c r="Q16" s="250">
        <f>(WPF!R33+WPF!R29)/WPF!R13</f>
        <v>6.5550328071993624E-2</v>
      </c>
    </row>
    <row r="17" spans="1:17" ht="35.25" customHeight="1">
      <c r="A17" s="246" t="s">
        <v>133</v>
      </c>
      <c r="B17" s="251" t="s">
        <v>134</v>
      </c>
      <c r="C17" s="252"/>
      <c r="D17" s="248"/>
      <c r="E17" s="248"/>
      <c r="F17" s="249">
        <f>F15-F16</f>
        <v>8.4527725246549376E-2</v>
      </c>
      <c r="G17" s="249">
        <f t="shared" ref="G17:Q17" si="0">G15-G16</f>
        <v>7.3565584990932881E-2</v>
      </c>
      <c r="H17" s="249">
        <f t="shared" si="0"/>
        <v>4.630225240085669E-2</v>
      </c>
      <c r="I17" s="249">
        <f t="shared" si="0"/>
        <v>4.8747636125458932E-2</v>
      </c>
      <c r="J17" s="249">
        <f t="shared" si="0"/>
        <v>6.0580121214362723E-2</v>
      </c>
      <c r="K17" s="249">
        <f t="shared" si="0"/>
        <v>4.6017103464208856E-2</v>
      </c>
      <c r="L17" s="249">
        <f t="shared" si="0"/>
        <v>1.9165578809480166E-2</v>
      </c>
      <c r="M17" s="249">
        <f t="shared" si="0"/>
        <v>1.7578196052612655E-2</v>
      </c>
      <c r="N17" s="249">
        <f t="shared" si="0"/>
        <v>4.5611982825623079E-2</v>
      </c>
      <c r="O17" s="249">
        <f t="shared" si="0"/>
        <v>3.9490280370885228E-2</v>
      </c>
      <c r="P17" s="249">
        <f t="shared" si="0"/>
        <v>1.7681841762615169E-2</v>
      </c>
      <c r="Q17" s="250">
        <f t="shared" si="0"/>
        <v>6.0946491936003933E-3</v>
      </c>
    </row>
    <row r="18" spans="1:17" ht="30" customHeight="1">
      <c r="A18" s="245" t="s">
        <v>135</v>
      </c>
      <c r="B18" s="106" t="s">
        <v>136</v>
      </c>
      <c r="C18" s="253">
        <f>WPF!D28/WPF!D13%</f>
        <v>1.959634752176012</v>
      </c>
      <c r="D18" s="253">
        <f>WPF!E28/WPF!E13%</f>
        <v>2.3282594878968568</v>
      </c>
      <c r="E18" s="253">
        <f>WPF!F28/WPF!F13%</f>
        <v>5.5106596300184378</v>
      </c>
      <c r="F18" s="253">
        <f>WPF!G28/WPF!G13%</f>
        <v>10.653694792951551</v>
      </c>
      <c r="G18" s="253">
        <f>WPF!H28/WPF!H13%</f>
        <v>5.5606564251702837</v>
      </c>
      <c r="H18" s="253">
        <f>WPF!I28/WPF!I13%</f>
        <v>6.1248652621215074</v>
      </c>
      <c r="I18" s="253">
        <f>WPF!J28/WPF!J13%</f>
        <v>8.241633142192752</v>
      </c>
      <c r="J18" s="253"/>
      <c r="K18" s="253"/>
      <c r="L18" s="253"/>
      <c r="M18" s="253"/>
      <c r="N18" s="253"/>
      <c r="O18" s="253"/>
      <c r="P18" s="253"/>
      <c r="Q18" s="254"/>
    </row>
    <row r="19" spans="1:17" ht="29.25" customHeight="1">
      <c r="A19" s="245" t="s">
        <v>137</v>
      </c>
      <c r="B19" s="106" t="s">
        <v>138</v>
      </c>
      <c r="C19" s="253">
        <f>C10/WPF!D13%</f>
        <v>20.922637275627366</v>
      </c>
      <c r="D19" s="253">
        <f>D10/WPF!E13%</f>
        <v>29.73558673968137</v>
      </c>
      <c r="E19" s="253">
        <f>E10/WPF!F13%</f>
        <v>55.982746471274986</v>
      </c>
      <c r="F19" s="253">
        <f>F10/WPF!G13%</f>
        <v>56.169150560182651</v>
      </c>
      <c r="G19" s="253">
        <f>G10/WPF!H13%</f>
        <v>51.495141720920792</v>
      </c>
      <c r="H19" s="253">
        <f>H10/WPF!I13%</f>
        <v>39.894308486517644</v>
      </c>
      <c r="I19" s="253">
        <f>I10/WPF!J13%</f>
        <v>44.586269457047791</v>
      </c>
      <c r="J19" s="253"/>
      <c r="K19" s="253"/>
      <c r="L19" s="253"/>
      <c r="M19" s="253"/>
      <c r="N19" s="253"/>
      <c r="O19" s="253"/>
      <c r="P19" s="253"/>
      <c r="Q19" s="254"/>
    </row>
    <row r="20" spans="1:17" ht="17.25" customHeight="1">
      <c r="A20" s="132" t="s">
        <v>139</v>
      </c>
      <c r="B20" s="255" t="s">
        <v>140</v>
      </c>
      <c r="C20" s="109">
        <f>C21+C22</f>
        <v>75196615</v>
      </c>
      <c r="D20" s="109">
        <f t="shared" ref="D20:Q20" si="1">D21+D22</f>
        <v>80916668</v>
      </c>
      <c r="E20" s="109">
        <f t="shared" si="1"/>
        <v>81699693</v>
      </c>
      <c r="F20" s="109">
        <f t="shared" si="1"/>
        <v>85095905</v>
      </c>
      <c r="G20" s="109">
        <f t="shared" si="1"/>
        <v>123790439</v>
      </c>
      <c r="H20" s="109">
        <f t="shared" si="1"/>
        <v>154936943</v>
      </c>
      <c r="I20" s="109">
        <f t="shared" si="1"/>
        <v>121885333</v>
      </c>
      <c r="J20" s="109">
        <f t="shared" si="1"/>
        <v>107829336</v>
      </c>
      <c r="K20" s="109">
        <f t="shared" si="1"/>
        <v>99758339</v>
      </c>
      <c r="L20" s="256">
        <f t="shared" si="1"/>
        <v>113848430</v>
      </c>
      <c r="M20" s="109">
        <f t="shared" si="1"/>
        <v>118106216</v>
      </c>
      <c r="N20" s="109">
        <f t="shared" si="1"/>
        <v>112538571</v>
      </c>
      <c r="O20" s="109">
        <f t="shared" si="1"/>
        <v>117152653</v>
      </c>
      <c r="P20" s="109">
        <f t="shared" si="1"/>
        <v>120470491</v>
      </c>
      <c r="Q20" s="110">
        <f t="shared" si="1"/>
        <v>131563196</v>
      </c>
    </row>
    <row r="21" spans="1:17" ht="16.5" customHeight="1">
      <c r="A21" s="245" t="s">
        <v>71</v>
      </c>
      <c r="B21" s="106" t="s">
        <v>141</v>
      </c>
      <c r="C21" s="103">
        <f>WPF!D14</f>
        <v>74779347</v>
      </c>
      <c r="D21" s="103">
        <f>WPF!E14</f>
        <v>80901768</v>
      </c>
      <c r="E21" s="103">
        <f>WPF!F14</f>
        <v>80665439</v>
      </c>
      <c r="F21" s="103">
        <f>WPF!G14</f>
        <v>84339995</v>
      </c>
      <c r="G21" s="103">
        <f>WPF!H14</f>
        <v>85341352</v>
      </c>
      <c r="H21" s="103">
        <f>WPF!I14</f>
        <v>89803585</v>
      </c>
      <c r="I21" s="103">
        <f>WPF!J14</f>
        <v>93052832</v>
      </c>
      <c r="J21" s="103">
        <f>WPF!K14</f>
        <v>95829336</v>
      </c>
      <c r="K21" s="103">
        <f>WPF!L14</f>
        <v>99758339</v>
      </c>
      <c r="L21" s="257">
        <f>WPF!M14</f>
        <v>103848430</v>
      </c>
      <c r="M21" s="103">
        <f>WPF!N14</f>
        <v>108106216</v>
      </c>
      <c r="N21" s="103">
        <f>WPF!O14</f>
        <v>112538571</v>
      </c>
      <c r="O21" s="103">
        <f>WPF!P14</f>
        <v>117152653</v>
      </c>
      <c r="P21" s="103">
        <f>WPF!Q14</f>
        <v>115470491</v>
      </c>
      <c r="Q21" s="105">
        <f>WPF!R14</f>
        <v>126563196</v>
      </c>
    </row>
    <row r="22" spans="1:17" ht="16.5" customHeight="1">
      <c r="A22" s="245" t="s">
        <v>73</v>
      </c>
      <c r="B22" s="106" t="s">
        <v>74</v>
      </c>
      <c r="C22" s="103">
        <f>WPF!D15</f>
        <v>417268</v>
      </c>
      <c r="D22" s="103">
        <f>WPF!E15</f>
        <v>14900</v>
      </c>
      <c r="E22" s="103">
        <f>WPF!F15</f>
        <v>1034254</v>
      </c>
      <c r="F22" s="103">
        <f>WPF!G15</f>
        <v>755910</v>
      </c>
      <c r="G22" s="103">
        <f>WPF!H15</f>
        <v>38449087</v>
      </c>
      <c r="H22" s="103">
        <f>WPF!I15</f>
        <v>65133358</v>
      </c>
      <c r="I22" s="103">
        <f>WPF!J15</f>
        <v>28832501</v>
      </c>
      <c r="J22" s="103">
        <f>WPF!K15</f>
        <v>12000000</v>
      </c>
      <c r="K22" s="103">
        <f>WPF!L15</f>
        <v>0</v>
      </c>
      <c r="L22" s="103">
        <f>WPF!M15</f>
        <v>10000000</v>
      </c>
      <c r="M22" s="103">
        <f>WPF!N15</f>
        <v>10000000</v>
      </c>
      <c r="N22" s="103">
        <f>WPF!O15</f>
        <v>0</v>
      </c>
      <c r="O22" s="103">
        <f>WPF!P15</f>
        <v>0</v>
      </c>
      <c r="P22" s="103">
        <f>WPF!Q15</f>
        <v>5000000</v>
      </c>
      <c r="Q22" s="105">
        <f>WPF!R15</f>
        <v>5000000</v>
      </c>
    </row>
    <row r="23" spans="1:17" ht="16.5" customHeight="1">
      <c r="A23" s="245" t="s">
        <v>75</v>
      </c>
      <c r="B23" s="106" t="s">
        <v>77</v>
      </c>
      <c r="C23" s="103">
        <f>WPF!D16</f>
        <v>0</v>
      </c>
      <c r="D23" s="103">
        <f>WPF!E16</f>
        <v>0</v>
      </c>
      <c r="E23" s="103">
        <f>WPF!F16</f>
        <v>197354</v>
      </c>
      <c r="F23" s="103">
        <f>WPF!G16</f>
        <v>255910</v>
      </c>
      <c r="G23" s="103">
        <f>WPF!H16</f>
        <v>13500000</v>
      </c>
      <c r="H23" s="103">
        <f>WPF!I16</f>
        <v>19500000</v>
      </c>
      <c r="I23" s="103">
        <f>WPF!J16</f>
        <v>10000000</v>
      </c>
      <c r="J23" s="103">
        <f>WPF!K16</f>
        <v>0</v>
      </c>
      <c r="K23" s="103">
        <f>WPF!L16</f>
        <v>0</v>
      </c>
      <c r="L23" s="103">
        <f>WPF!M16</f>
        <v>10000000</v>
      </c>
      <c r="M23" s="103">
        <f>WPF!N16</f>
        <v>10000000</v>
      </c>
      <c r="N23" s="103">
        <f>WPF!O16</f>
        <v>0</v>
      </c>
      <c r="O23" s="103">
        <f>WPF!P16</f>
        <v>0</v>
      </c>
      <c r="P23" s="103">
        <f>WPF!Q16</f>
        <v>5000000</v>
      </c>
      <c r="Q23" s="105">
        <f>WPF!R16</f>
        <v>5000000</v>
      </c>
    </row>
    <row r="24" spans="1:17" ht="16.5" customHeight="1">
      <c r="A24" s="132" t="s">
        <v>142</v>
      </c>
      <c r="B24" s="255" t="s">
        <v>143</v>
      </c>
      <c r="C24" s="109">
        <f>C25+C26</f>
        <v>93858939.640000001</v>
      </c>
      <c r="D24" s="109">
        <f t="shared" ref="D24:Q24" si="2">D25+D26</f>
        <v>107175456.56999999</v>
      </c>
      <c r="E24" s="109">
        <f t="shared" si="2"/>
        <v>105850665</v>
      </c>
      <c r="F24" s="109">
        <f t="shared" si="2"/>
        <v>87934218</v>
      </c>
      <c r="G24" s="109">
        <f>G25+G26</f>
        <v>139790439</v>
      </c>
      <c r="H24" s="109">
        <f t="shared" si="2"/>
        <v>153001903</v>
      </c>
      <c r="I24" s="109">
        <f t="shared" si="2"/>
        <v>114418434</v>
      </c>
      <c r="J24" s="109">
        <f t="shared" si="2"/>
        <v>100672883</v>
      </c>
      <c r="K24" s="109">
        <f t="shared" si="2"/>
        <v>93558339</v>
      </c>
      <c r="L24" s="109">
        <f t="shared" si="2"/>
        <v>107548430</v>
      </c>
      <c r="M24" s="109">
        <f t="shared" si="2"/>
        <v>111230046</v>
      </c>
      <c r="N24" s="109">
        <f t="shared" si="2"/>
        <v>106443210.69</v>
      </c>
      <c r="O24" s="109">
        <f t="shared" si="2"/>
        <v>110068797.76000001</v>
      </c>
      <c r="P24" s="109">
        <f t="shared" si="2"/>
        <v>113386621</v>
      </c>
      <c r="Q24" s="110">
        <f t="shared" si="2"/>
        <v>124014780.66</v>
      </c>
    </row>
    <row r="25" spans="1:17" ht="17.25" customHeight="1">
      <c r="A25" s="245" t="s">
        <v>71</v>
      </c>
      <c r="B25" s="106" t="s">
        <v>144</v>
      </c>
      <c r="C25" s="103">
        <f>WPF!D17+WPF!D33</f>
        <v>55125811</v>
      </c>
      <c r="D25" s="103">
        <f>WPF!E17+WPF!E33</f>
        <v>63862781</v>
      </c>
      <c r="E25" s="103">
        <f>WPF!F17+WPF!F33</f>
        <v>72590083</v>
      </c>
      <c r="F25" s="103">
        <f>WPF!G17+WPF!G33</f>
        <v>78155472</v>
      </c>
      <c r="G25" s="103">
        <f>WPF!H17+WPF!H33</f>
        <v>80803752</v>
      </c>
      <c r="H25" s="103">
        <f>WPF!I17+WPF!I33</f>
        <v>82639444</v>
      </c>
      <c r="I25" s="103">
        <f>WPF!J17+WPF!J33</f>
        <v>85867173</v>
      </c>
      <c r="J25" s="103">
        <f>WPF!K17+WPF!K33</f>
        <v>88672883</v>
      </c>
      <c r="K25" s="103">
        <f>WPF!L17+WPF!L33</f>
        <v>93558339</v>
      </c>
      <c r="L25" s="103">
        <f>WPF!M17+WPF!M33</f>
        <v>97548430</v>
      </c>
      <c r="M25" s="103">
        <f>WPF!N17+WPF!N33</f>
        <v>101230046</v>
      </c>
      <c r="N25" s="103">
        <f>WPF!O17+WPF!O33</f>
        <v>106443210.69</v>
      </c>
      <c r="O25" s="103">
        <f>WPF!P17+WPF!P33</f>
        <v>110068797.76000001</v>
      </c>
      <c r="P25" s="103">
        <f>WPF!Q17+WPF!Q33</f>
        <v>108386621</v>
      </c>
      <c r="Q25" s="105">
        <f>WPF!R17+WPF!R33</f>
        <v>119014780.66</v>
      </c>
    </row>
    <row r="26" spans="1:17" ht="17.25" customHeight="1">
      <c r="A26" s="245" t="s">
        <v>73</v>
      </c>
      <c r="B26" s="106" t="s">
        <v>145</v>
      </c>
      <c r="C26" s="103">
        <f>WPF!D36</f>
        <v>38733128.640000001</v>
      </c>
      <c r="D26" s="103">
        <f>WPF!E36</f>
        <v>43312675.57</v>
      </c>
      <c r="E26" s="103">
        <f>WPF!F36</f>
        <v>33260582</v>
      </c>
      <c r="F26" s="103">
        <f>WPF!G36</f>
        <v>9778746</v>
      </c>
      <c r="G26" s="103">
        <f>WPF!H36</f>
        <v>58986687</v>
      </c>
      <c r="H26" s="103">
        <f>WPF!I36</f>
        <v>70362459</v>
      </c>
      <c r="I26" s="103">
        <f>WPF!J36</f>
        <v>28551261</v>
      </c>
      <c r="J26" s="103">
        <f>WPF!K36</f>
        <v>12000000</v>
      </c>
      <c r="K26" s="103">
        <f>WPF!L36</f>
        <v>0</v>
      </c>
      <c r="L26" s="103">
        <f>WPF!M36</f>
        <v>10000000</v>
      </c>
      <c r="M26" s="103">
        <f>WPF!N36</f>
        <v>10000000</v>
      </c>
      <c r="N26" s="103">
        <f>WPF!O36</f>
        <v>0</v>
      </c>
      <c r="O26" s="103">
        <f>WPF!P36</f>
        <v>0</v>
      </c>
      <c r="P26" s="103">
        <f>WPF!Q36</f>
        <v>5000000</v>
      </c>
      <c r="Q26" s="105">
        <f>WPF!R36</f>
        <v>5000000</v>
      </c>
    </row>
    <row r="27" spans="1:17" ht="31.5" customHeight="1">
      <c r="A27" s="132" t="s">
        <v>146</v>
      </c>
      <c r="B27" s="255" t="s">
        <v>147</v>
      </c>
      <c r="C27" s="109">
        <f>C20-C24</f>
        <v>-18662324.640000001</v>
      </c>
      <c r="D27" s="109">
        <f t="shared" ref="D27:Q27" si="3">D20-D24</f>
        <v>-26258788.569999993</v>
      </c>
      <c r="E27" s="109">
        <f>E20-E24</f>
        <v>-24150972</v>
      </c>
      <c r="F27" s="109">
        <f t="shared" si="3"/>
        <v>-2838313</v>
      </c>
      <c r="G27" s="109">
        <f t="shared" si="3"/>
        <v>-16000000</v>
      </c>
      <c r="H27" s="109">
        <f t="shared" si="3"/>
        <v>1935040</v>
      </c>
      <c r="I27" s="109">
        <f t="shared" si="3"/>
        <v>7466899</v>
      </c>
      <c r="J27" s="109">
        <f t="shared" si="3"/>
        <v>7156453</v>
      </c>
      <c r="K27" s="109">
        <f t="shared" si="3"/>
        <v>6200000</v>
      </c>
      <c r="L27" s="109">
        <f t="shared" si="3"/>
        <v>6300000</v>
      </c>
      <c r="M27" s="109">
        <f t="shared" si="3"/>
        <v>6876170</v>
      </c>
      <c r="N27" s="109">
        <f t="shared" si="3"/>
        <v>6095360.3100000024</v>
      </c>
      <c r="O27" s="109">
        <f t="shared" si="3"/>
        <v>7083855.2399999946</v>
      </c>
      <c r="P27" s="109">
        <f t="shared" si="3"/>
        <v>7083870</v>
      </c>
      <c r="Q27" s="110">
        <f t="shared" si="3"/>
        <v>7548415.3400000036</v>
      </c>
    </row>
    <row r="28" spans="1:17" ht="15.75" customHeight="1">
      <c r="A28" s="132" t="s">
        <v>148</v>
      </c>
      <c r="B28" s="255" t="s">
        <v>243</v>
      </c>
      <c r="C28" s="109">
        <f>SUM(C29:C33)</f>
        <v>3355000</v>
      </c>
      <c r="D28" s="109">
        <f t="shared" ref="D28:G28" si="4">SUM(D29:D33)</f>
        <v>26258789</v>
      </c>
      <c r="E28" s="109">
        <f t="shared" si="4"/>
        <v>24150972</v>
      </c>
      <c r="F28" s="109">
        <f t="shared" si="4"/>
        <v>2838313</v>
      </c>
      <c r="G28" s="109">
        <f t="shared" si="4"/>
        <v>16000000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ht="15.75" customHeight="1">
      <c r="A29" s="133" t="s">
        <v>71</v>
      </c>
      <c r="B29" s="112" t="s">
        <v>94</v>
      </c>
      <c r="C29" s="103">
        <v>3355000</v>
      </c>
      <c r="D29" s="103">
        <v>7546170</v>
      </c>
      <c r="E29" s="103">
        <v>6330000</v>
      </c>
      <c r="F29" s="103"/>
      <c r="G29" s="103">
        <v>3000000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1:17" ht="15.75" customHeight="1">
      <c r="A30" s="133" t="s">
        <v>73</v>
      </c>
      <c r="B30" s="112" t="s">
        <v>95</v>
      </c>
      <c r="C30" s="103"/>
      <c r="D30" s="103">
        <v>4000000</v>
      </c>
      <c r="E30" s="103">
        <v>4810000</v>
      </c>
      <c r="F30" s="103"/>
      <c r="G30" s="103">
        <v>6000000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1:17" ht="15.75" customHeight="1">
      <c r="A31" s="133" t="s">
        <v>81</v>
      </c>
      <c r="B31" s="112" t="s">
        <v>241</v>
      </c>
      <c r="C31" s="103"/>
      <c r="D31" s="103">
        <v>2699265</v>
      </c>
      <c r="E31" s="103"/>
      <c r="F31" s="103"/>
      <c r="G31" s="103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2" spans="1:17" ht="57" customHeight="1">
      <c r="A32" s="133" t="s">
        <v>84</v>
      </c>
      <c r="B32" s="130" t="s">
        <v>103</v>
      </c>
      <c r="C32" s="103"/>
      <c r="D32" s="103">
        <v>12013354</v>
      </c>
      <c r="E32" s="103"/>
      <c r="F32" s="103"/>
      <c r="G32" s="103"/>
      <c r="H32" s="109"/>
      <c r="I32" s="109"/>
      <c r="J32" s="109"/>
      <c r="K32" s="109"/>
      <c r="L32" s="109"/>
      <c r="M32" s="109"/>
      <c r="N32" s="109"/>
      <c r="O32" s="109"/>
      <c r="P32" s="109"/>
      <c r="Q32" s="110"/>
    </row>
    <row r="33" spans="1:17" ht="15.75" customHeight="1">
      <c r="A33" s="133" t="s">
        <v>149</v>
      </c>
      <c r="B33" s="112" t="s">
        <v>102</v>
      </c>
      <c r="C33" s="103"/>
      <c r="D33" s="103"/>
      <c r="E33" s="103">
        <v>13010972</v>
      </c>
      <c r="F33" s="103">
        <v>2838313</v>
      </c>
      <c r="G33" s="103">
        <v>7000000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15.75" customHeight="1">
      <c r="A34" s="416"/>
      <c r="B34" s="417"/>
      <c r="C34" s="418"/>
      <c r="D34" s="418"/>
      <c r="E34" s="418"/>
      <c r="F34" s="418"/>
      <c r="G34" s="418"/>
      <c r="H34" s="419"/>
      <c r="I34" s="419"/>
      <c r="J34" s="419"/>
      <c r="K34" s="419"/>
      <c r="L34" s="419"/>
      <c r="M34" s="419"/>
      <c r="N34" s="419"/>
      <c r="O34" s="419"/>
      <c r="P34" s="419"/>
      <c r="Q34" s="419"/>
    </row>
    <row r="35" spans="1:17" ht="15.75" customHeight="1">
      <c r="A35" s="420"/>
      <c r="B35" s="421"/>
      <c r="C35" s="422"/>
      <c r="D35" s="422"/>
      <c r="E35" s="422"/>
      <c r="F35" s="422"/>
      <c r="G35" s="422"/>
      <c r="H35" s="423"/>
      <c r="I35" s="423"/>
      <c r="J35" s="423"/>
      <c r="K35" s="423"/>
      <c r="L35" s="423"/>
      <c r="M35" s="423"/>
      <c r="N35" s="423"/>
      <c r="O35" s="423"/>
      <c r="P35" s="423"/>
      <c r="Q35" s="423"/>
    </row>
    <row r="36" spans="1:17" ht="15.75" customHeight="1">
      <c r="A36" s="420"/>
      <c r="B36" s="421"/>
      <c r="C36" s="422"/>
      <c r="D36" s="422"/>
      <c r="E36" s="422"/>
      <c r="F36" s="422"/>
      <c r="G36" s="422"/>
      <c r="H36" s="423"/>
      <c r="I36" s="423"/>
      <c r="J36" s="423"/>
      <c r="K36" s="423"/>
      <c r="L36" s="423"/>
      <c r="M36" s="423"/>
      <c r="N36" s="423"/>
      <c r="O36" s="423"/>
      <c r="P36" s="423"/>
      <c r="Q36" s="423"/>
    </row>
    <row r="37" spans="1:17" ht="15.75" customHeight="1">
      <c r="A37" s="420"/>
      <c r="B37" s="421"/>
      <c r="C37" s="422"/>
      <c r="D37" s="422"/>
      <c r="E37" s="422"/>
      <c r="F37" s="422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</row>
    <row r="38" spans="1:17" ht="15.75" customHeight="1" thickBot="1">
      <c r="A38" s="420"/>
      <c r="B38" s="421"/>
      <c r="C38" s="422"/>
      <c r="D38" s="422"/>
      <c r="E38" s="422"/>
      <c r="F38" s="422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</row>
    <row r="39" spans="1:17" ht="15.75" customHeight="1" thickBot="1">
      <c r="A39" s="467" t="s">
        <v>120</v>
      </c>
      <c r="B39" s="468" t="s">
        <v>66</v>
      </c>
      <c r="C39" s="469" t="s">
        <v>67</v>
      </c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</row>
    <row r="40" spans="1:17" ht="15.75" customHeight="1" thickBot="1">
      <c r="A40" s="467"/>
      <c r="B40" s="468"/>
      <c r="C40" s="471" t="s">
        <v>68</v>
      </c>
      <c r="D40" s="472"/>
      <c r="E40" s="472"/>
      <c r="F40" s="473"/>
      <c r="G40" s="470" t="s">
        <v>121</v>
      </c>
      <c r="H40" s="470"/>
      <c r="I40" s="470"/>
      <c r="J40" s="470"/>
      <c r="K40" s="470"/>
      <c r="L40" s="470"/>
      <c r="M40" s="470"/>
      <c r="N40" s="470"/>
      <c r="O40" s="470"/>
      <c r="P40" s="470"/>
      <c r="Q40" s="470"/>
    </row>
    <row r="41" spans="1:17" ht="15.75" customHeight="1" thickBot="1">
      <c r="A41" s="467"/>
      <c r="B41" s="468"/>
      <c r="C41" s="238">
        <v>2007</v>
      </c>
      <c r="D41" s="238">
        <v>2008</v>
      </c>
      <c r="E41" s="238">
        <v>2009</v>
      </c>
      <c r="F41" s="239">
        <v>2010</v>
      </c>
      <c r="G41" s="238">
        <v>2011</v>
      </c>
      <c r="H41" s="238">
        <v>2012</v>
      </c>
      <c r="I41" s="238">
        <v>2013</v>
      </c>
      <c r="J41" s="238">
        <v>2014</v>
      </c>
      <c r="K41" s="238">
        <v>2015</v>
      </c>
      <c r="L41" s="238">
        <v>2016</v>
      </c>
      <c r="M41" s="238">
        <v>2017</v>
      </c>
      <c r="N41" s="238">
        <v>2018</v>
      </c>
      <c r="O41" s="238">
        <v>2019</v>
      </c>
      <c r="P41" s="238">
        <v>2020</v>
      </c>
      <c r="Q41" s="240">
        <v>2021</v>
      </c>
    </row>
    <row r="42" spans="1:17" ht="14.25" customHeight="1">
      <c r="A42" s="132" t="s">
        <v>150</v>
      </c>
      <c r="B42" s="255" t="s">
        <v>244</v>
      </c>
      <c r="C42" s="109"/>
      <c r="D42" s="109"/>
      <c r="E42" s="109"/>
      <c r="F42" s="109"/>
      <c r="G42" s="109"/>
      <c r="H42" s="109">
        <f>SUM(H43:H45)</f>
        <v>1935040</v>
      </c>
      <c r="I42" s="109">
        <f t="shared" ref="I42:Q42" si="5">SUM(I43:I45)</f>
        <v>7466899</v>
      </c>
      <c r="J42" s="109">
        <f t="shared" si="5"/>
        <v>7156453</v>
      </c>
      <c r="K42" s="109">
        <f t="shared" si="5"/>
        <v>6200000</v>
      </c>
      <c r="L42" s="109">
        <f t="shared" si="5"/>
        <v>6300000</v>
      </c>
      <c r="M42" s="109">
        <f t="shared" si="5"/>
        <v>6876170</v>
      </c>
      <c r="N42" s="109">
        <f t="shared" si="5"/>
        <v>6095360</v>
      </c>
      <c r="O42" s="109">
        <f t="shared" si="5"/>
        <v>7083855</v>
      </c>
      <c r="P42" s="109">
        <f t="shared" si="5"/>
        <v>7083870</v>
      </c>
      <c r="Q42" s="110">
        <f t="shared" si="5"/>
        <v>7548415</v>
      </c>
    </row>
    <row r="43" spans="1:17" ht="14.25" customHeight="1">
      <c r="A43" s="134" t="s">
        <v>71</v>
      </c>
      <c r="B43" s="112" t="s">
        <v>240</v>
      </c>
      <c r="C43" s="111"/>
      <c r="D43" s="104"/>
      <c r="E43" s="104"/>
      <c r="F43" s="135"/>
      <c r="G43" s="104"/>
      <c r="H43" s="104">
        <v>1935040</v>
      </c>
      <c r="I43" s="104">
        <f t="shared" ref="I43:Q43" si="6">I53</f>
        <v>3866899</v>
      </c>
      <c r="J43" s="104">
        <f t="shared" si="6"/>
        <v>3506453</v>
      </c>
      <c r="K43" s="104">
        <f t="shared" si="6"/>
        <v>2550000</v>
      </c>
      <c r="L43" s="104">
        <f t="shared" si="6"/>
        <v>2550000</v>
      </c>
      <c r="M43" s="104">
        <f t="shared" si="6"/>
        <v>2401170</v>
      </c>
      <c r="N43" s="104">
        <f t="shared" si="6"/>
        <v>262028</v>
      </c>
      <c r="O43" s="104">
        <f t="shared" si="6"/>
        <v>1050523</v>
      </c>
      <c r="P43" s="104">
        <f t="shared" si="6"/>
        <v>1000000</v>
      </c>
      <c r="Q43" s="107">
        <f t="shared" si="6"/>
        <v>423949</v>
      </c>
    </row>
    <row r="44" spans="1:17" ht="14.25" customHeight="1">
      <c r="A44" s="134" t="s">
        <v>73</v>
      </c>
      <c r="B44" s="112" t="s">
        <v>245</v>
      </c>
      <c r="C44" s="111"/>
      <c r="D44" s="104"/>
      <c r="E44" s="104"/>
      <c r="F44" s="135"/>
      <c r="G44" s="104"/>
      <c r="H44" s="104"/>
      <c r="I44" s="104">
        <f t="shared" ref="I44:Q44" si="7">I54</f>
        <v>600000</v>
      </c>
      <c r="J44" s="104">
        <f t="shared" si="7"/>
        <v>650000</v>
      </c>
      <c r="K44" s="104">
        <f t="shared" si="7"/>
        <v>650000</v>
      </c>
      <c r="L44" s="104">
        <f t="shared" si="7"/>
        <v>750000</v>
      </c>
      <c r="M44" s="104">
        <f t="shared" si="7"/>
        <v>1475000</v>
      </c>
      <c r="N44" s="104">
        <f t="shared" si="7"/>
        <v>833332</v>
      </c>
      <c r="O44" s="104">
        <f t="shared" si="7"/>
        <v>3333332</v>
      </c>
      <c r="P44" s="104">
        <f t="shared" si="7"/>
        <v>3383870</v>
      </c>
      <c r="Q44" s="107">
        <f t="shared" si="7"/>
        <v>3024466</v>
      </c>
    </row>
    <row r="45" spans="1:17" ht="15" customHeight="1">
      <c r="A45" s="134" t="s">
        <v>81</v>
      </c>
      <c r="B45" s="112" t="s">
        <v>96</v>
      </c>
      <c r="C45" s="111"/>
      <c r="D45" s="104"/>
      <c r="E45" s="104"/>
      <c r="F45" s="135"/>
      <c r="G45" s="104"/>
      <c r="H45" s="104"/>
      <c r="I45" s="104">
        <f t="shared" ref="I45:Q45" si="8">I55</f>
        <v>3000000</v>
      </c>
      <c r="J45" s="104">
        <f t="shared" si="8"/>
        <v>3000000</v>
      </c>
      <c r="K45" s="104">
        <f t="shared" si="8"/>
        <v>3000000</v>
      </c>
      <c r="L45" s="104">
        <f t="shared" si="8"/>
        <v>3000000</v>
      </c>
      <c r="M45" s="104">
        <f t="shared" si="8"/>
        <v>3000000</v>
      </c>
      <c r="N45" s="104">
        <f t="shared" si="8"/>
        <v>5000000</v>
      </c>
      <c r="O45" s="104">
        <f t="shared" si="8"/>
        <v>2700000</v>
      </c>
      <c r="P45" s="104">
        <f t="shared" si="8"/>
        <v>2700000</v>
      </c>
      <c r="Q45" s="107">
        <f t="shared" si="8"/>
        <v>4100000</v>
      </c>
    </row>
    <row r="46" spans="1:17" ht="15.75" customHeight="1">
      <c r="A46" s="132" t="s">
        <v>151</v>
      </c>
      <c r="B46" s="255" t="s">
        <v>117</v>
      </c>
      <c r="C46" s="109">
        <f>WPF!D24+WPF!D53</f>
        <v>39684305</v>
      </c>
      <c r="D46" s="109">
        <f>WPF!E24+WPF!E53</f>
        <v>31400550</v>
      </c>
      <c r="E46" s="109">
        <f>WPF!F24+WPF!F53</f>
        <v>28859761</v>
      </c>
      <c r="F46" s="109">
        <f>WPF!G24+WPF!G53</f>
        <v>10245475</v>
      </c>
      <c r="G46" s="109">
        <f>WPF!H24+WPF!H53</f>
        <v>20551585</v>
      </c>
      <c r="H46" s="109">
        <f>WPF!I24+WPF!I53</f>
        <v>5000000</v>
      </c>
      <c r="I46" s="109">
        <f>WPF!J24+WPF!J53</f>
        <v>0</v>
      </c>
      <c r="J46" s="109">
        <f>WPF!K24+WPF!K53</f>
        <v>0</v>
      </c>
      <c r="K46" s="109">
        <f>WPF!L24+WPF!L53</f>
        <v>0</v>
      </c>
      <c r="L46" s="109">
        <f>WPF!M24+WPF!M53</f>
        <v>0</v>
      </c>
      <c r="M46" s="109">
        <f>WPF!N24+WPF!N53</f>
        <v>0</v>
      </c>
      <c r="N46" s="109">
        <f>WPF!O24+WPF!O53</f>
        <v>0</v>
      </c>
      <c r="O46" s="109">
        <f>WPF!P24+WPF!P53</f>
        <v>0</v>
      </c>
      <c r="P46" s="109">
        <f>WPF!Q24+WPF!Q53</f>
        <v>0</v>
      </c>
      <c r="Q46" s="110">
        <f>WPF!R24+WPF!R53</f>
        <v>0</v>
      </c>
    </row>
    <row r="47" spans="1:17" ht="11.25" customHeight="1">
      <c r="A47" s="245" t="s">
        <v>71</v>
      </c>
      <c r="B47" s="112" t="s">
        <v>94</v>
      </c>
      <c r="C47" s="103">
        <v>3355000</v>
      </c>
      <c r="D47" s="103">
        <v>7546170</v>
      </c>
      <c r="E47" s="103">
        <v>6330000</v>
      </c>
      <c r="F47" s="103"/>
      <c r="G47" s="103">
        <v>3000000</v>
      </c>
      <c r="H47" s="103">
        <v>5000000</v>
      </c>
      <c r="I47" s="103"/>
      <c r="J47" s="103"/>
      <c r="K47" s="103"/>
      <c r="L47" s="103"/>
      <c r="M47" s="103"/>
      <c r="N47" s="103"/>
      <c r="O47" s="103"/>
      <c r="P47" s="103"/>
      <c r="Q47" s="105"/>
    </row>
    <row r="48" spans="1:17" ht="11.25" customHeight="1">
      <c r="A48" s="245" t="s">
        <v>73</v>
      </c>
      <c r="B48" s="112" t="s">
        <v>95</v>
      </c>
      <c r="C48" s="103"/>
      <c r="D48" s="103">
        <v>4000000</v>
      </c>
      <c r="E48" s="103">
        <v>4810000</v>
      </c>
      <c r="F48" s="103"/>
      <c r="G48" s="103">
        <v>6000000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5"/>
    </row>
    <row r="49" spans="1:17" ht="11.25" customHeight="1">
      <c r="A49" s="245" t="s">
        <v>81</v>
      </c>
      <c r="B49" s="112" t="s">
        <v>102</v>
      </c>
      <c r="C49" s="103"/>
      <c r="D49" s="103"/>
      <c r="E49" s="103">
        <v>14000000</v>
      </c>
      <c r="F49" s="103">
        <v>9000000</v>
      </c>
      <c r="G49" s="103">
        <v>11500000</v>
      </c>
      <c r="H49" s="103"/>
      <c r="I49" s="103"/>
      <c r="J49" s="103"/>
      <c r="K49" s="103"/>
      <c r="L49" s="103"/>
      <c r="M49" s="103"/>
      <c r="N49" s="103"/>
      <c r="O49" s="103"/>
      <c r="P49" s="103"/>
      <c r="Q49" s="105"/>
    </row>
    <row r="50" spans="1:17" ht="51.75" customHeight="1">
      <c r="A50" s="245" t="s">
        <v>84</v>
      </c>
      <c r="B50" s="130" t="s">
        <v>103</v>
      </c>
      <c r="C50" s="103">
        <v>13695715</v>
      </c>
      <c r="D50" s="103">
        <v>15733115</v>
      </c>
      <c r="E50" s="103">
        <v>3719761</v>
      </c>
      <c r="F50" s="103">
        <v>1245475</v>
      </c>
      <c r="G50" s="103">
        <v>51585</v>
      </c>
      <c r="H50" s="103"/>
      <c r="I50" s="103"/>
      <c r="J50" s="103"/>
      <c r="K50" s="103"/>
      <c r="L50" s="103"/>
      <c r="M50" s="103"/>
      <c r="N50" s="103"/>
      <c r="O50" s="103"/>
      <c r="P50" s="103"/>
      <c r="Q50" s="105"/>
    </row>
    <row r="51" spans="1:17" ht="14.25" customHeight="1">
      <c r="A51" s="245" t="s">
        <v>149</v>
      </c>
      <c r="B51" s="131" t="s">
        <v>104</v>
      </c>
      <c r="C51" s="103">
        <v>22633590</v>
      </c>
      <c r="D51" s="103">
        <v>4121265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5"/>
    </row>
    <row r="52" spans="1:17" ht="21" customHeight="1">
      <c r="A52" s="132" t="s">
        <v>242</v>
      </c>
      <c r="B52" s="255" t="s">
        <v>118</v>
      </c>
      <c r="C52" s="109">
        <f>WPF!D29+WPF!D34</f>
        <v>1167600</v>
      </c>
      <c r="D52" s="109">
        <f>WPF!E29+WPF!E34</f>
        <v>1422000</v>
      </c>
      <c r="E52" s="109">
        <f>WPF!F29+WPF!F34</f>
        <v>3463314</v>
      </c>
      <c r="F52" s="109">
        <f>WPF!G29+WPF!G34</f>
        <v>6980085</v>
      </c>
      <c r="G52" s="109">
        <f>WPF!H29+WPF!H34</f>
        <v>4551585</v>
      </c>
      <c r="H52" s="109">
        <f>WPF!I29+WPF!I34</f>
        <v>6935040</v>
      </c>
      <c r="I52" s="109">
        <f>WPF!J29+WPF!J34</f>
        <v>7466899</v>
      </c>
      <c r="J52" s="109">
        <f>WPF!K29+WPF!K34</f>
        <v>7156453</v>
      </c>
      <c r="K52" s="109">
        <f>WPF!L29+WPF!L34</f>
        <v>6200000</v>
      </c>
      <c r="L52" s="109">
        <f>WPF!M29+WPF!M34</f>
        <v>6300000</v>
      </c>
      <c r="M52" s="109">
        <f>WPF!N29+WPF!N34</f>
        <v>6876170</v>
      </c>
      <c r="N52" s="109">
        <f>WPF!O29+WPF!O34</f>
        <v>6095360</v>
      </c>
      <c r="O52" s="109">
        <f>WPF!P29+WPF!P34</f>
        <v>7083855</v>
      </c>
      <c r="P52" s="109">
        <f>WPF!Q29+WPF!Q34</f>
        <v>7083870</v>
      </c>
      <c r="Q52" s="110">
        <f>WPF!R29+WPF!R34</f>
        <v>7548415</v>
      </c>
    </row>
    <row r="53" spans="1:17" ht="12" customHeight="1">
      <c r="A53" s="134" t="s">
        <v>71</v>
      </c>
      <c r="B53" s="112" t="s">
        <v>94</v>
      </c>
      <c r="C53" s="111">
        <v>1167600</v>
      </c>
      <c r="D53" s="104">
        <v>1422000</v>
      </c>
      <c r="E53" s="104">
        <v>2963314</v>
      </c>
      <c r="F53" s="135">
        <v>3340085</v>
      </c>
      <c r="G53" s="104">
        <f>WPF!H30</f>
        <v>2141585</v>
      </c>
      <c r="H53" s="104">
        <f>WPF!I30</f>
        <v>3535040</v>
      </c>
      <c r="I53" s="104">
        <f>WPF!J30</f>
        <v>3866899</v>
      </c>
      <c r="J53" s="104">
        <f>WPF!K30</f>
        <v>3506453</v>
      </c>
      <c r="K53" s="104">
        <f>WPF!L30</f>
        <v>2550000</v>
      </c>
      <c r="L53" s="104">
        <f>WPF!M30</f>
        <v>2550000</v>
      </c>
      <c r="M53" s="104">
        <f>WPF!N30</f>
        <v>2401170</v>
      </c>
      <c r="N53" s="104">
        <f>WPF!O30</f>
        <v>262028</v>
      </c>
      <c r="O53" s="104">
        <f>WPF!P30</f>
        <v>1050523</v>
      </c>
      <c r="P53" s="104">
        <f>WPF!Q30</f>
        <v>1000000</v>
      </c>
      <c r="Q53" s="107">
        <f>WPF!R30</f>
        <v>423949</v>
      </c>
    </row>
    <row r="54" spans="1:17" ht="12" customHeight="1">
      <c r="A54" s="134" t="s">
        <v>73</v>
      </c>
      <c r="B54" s="112" t="s">
        <v>95</v>
      </c>
      <c r="C54" s="111"/>
      <c r="D54" s="104"/>
      <c r="E54" s="104">
        <v>500000</v>
      </c>
      <c r="F54" s="135">
        <v>3600000</v>
      </c>
      <c r="G54" s="104">
        <f>WPF!H31</f>
        <v>410000</v>
      </c>
      <c r="H54" s="104">
        <f>WPF!I31</f>
        <v>400000</v>
      </c>
      <c r="I54" s="104">
        <f>WPF!J31</f>
        <v>600000</v>
      </c>
      <c r="J54" s="104">
        <f>WPF!K31</f>
        <v>650000</v>
      </c>
      <c r="K54" s="104">
        <f>WPF!L31</f>
        <v>650000</v>
      </c>
      <c r="L54" s="104">
        <f>WPF!M31</f>
        <v>750000</v>
      </c>
      <c r="M54" s="104">
        <f>WPF!N31</f>
        <v>1475000</v>
      </c>
      <c r="N54" s="104">
        <f>WPF!O31</f>
        <v>833332</v>
      </c>
      <c r="O54" s="104">
        <f>WPF!P31</f>
        <v>3333332</v>
      </c>
      <c r="P54" s="104">
        <f>WPF!Q31</f>
        <v>3383870</v>
      </c>
      <c r="Q54" s="107">
        <f>WPF!R31</f>
        <v>3024466</v>
      </c>
    </row>
    <row r="55" spans="1:17" ht="12.75" customHeight="1">
      <c r="A55" s="134" t="s">
        <v>81</v>
      </c>
      <c r="B55" s="112" t="s">
        <v>96</v>
      </c>
      <c r="C55" s="111"/>
      <c r="D55" s="104"/>
      <c r="E55" s="104"/>
      <c r="F55" s="135"/>
      <c r="G55" s="104">
        <f>WPF!H32</f>
        <v>2000000</v>
      </c>
      <c r="H55" s="104">
        <f>WPF!I32</f>
        <v>3000000</v>
      </c>
      <c r="I55" s="104">
        <f>WPF!J32</f>
        <v>3000000</v>
      </c>
      <c r="J55" s="104">
        <f>WPF!K32</f>
        <v>3000000</v>
      </c>
      <c r="K55" s="104">
        <f>WPF!L32</f>
        <v>3000000</v>
      </c>
      <c r="L55" s="104">
        <f>WPF!M32</f>
        <v>3000000</v>
      </c>
      <c r="M55" s="104">
        <f>WPF!N32</f>
        <v>3000000</v>
      </c>
      <c r="N55" s="104">
        <f>WPF!O32</f>
        <v>5000000</v>
      </c>
      <c r="O55" s="104">
        <f>WPF!P32</f>
        <v>2700000</v>
      </c>
      <c r="P55" s="104">
        <f>WPF!Q32</f>
        <v>2700000</v>
      </c>
      <c r="Q55" s="107">
        <f>WPF!R32</f>
        <v>4100000</v>
      </c>
    </row>
    <row r="56" spans="1:17" ht="36" customHeight="1">
      <c r="A56" s="258">
        <v>16</v>
      </c>
      <c r="B56" s="259" t="s">
        <v>152</v>
      </c>
      <c r="C56" s="260">
        <f>(WPF!D14+WPF!D24)/'Prognoza długu'!C25%</f>
        <v>201.55468007536433</v>
      </c>
      <c r="D56" s="260">
        <f>(WPF!E14+WPF!E24)/'Prognoza długu'!D25%</f>
        <v>157.76974698298841</v>
      </c>
      <c r="E56" s="260">
        <f>(WPF!F14+WPF!F24)/'Prognoza długu'!E25%</f>
        <v>116.24893719986517</v>
      </c>
      <c r="F56" s="260">
        <f>(WPF!G14+WPF!G24)/'Prognoza długu'!F25%</f>
        <v>109.50668943564182</v>
      </c>
      <c r="G56" s="260">
        <f>(WPF!H14+WPF!H24)/'Prognoza długu'!G25%</f>
        <v>105.67942067838632</v>
      </c>
      <c r="H56" s="260">
        <f>(WPF!I14+WPF!I24)/'Prognoza długu'!H25%</f>
        <v>108.66915440524988</v>
      </c>
      <c r="I56" s="260">
        <f>(WPF!J14+WPF!J24)/'Prognoza długu'!I25%</f>
        <v>108.36834234661481</v>
      </c>
      <c r="J56" s="260">
        <f>(WPF!K14+WPF!K24)/'Prognoza długu'!J25%</f>
        <v>108.07062177058121</v>
      </c>
      <c r="K56" s="260">
        <f>(WPF!L14+WPF!L24)/'Prognoza długu'!K25%</f>
        <v>106.6268812232761</v>
      </c>
      <c r="L56" s="260">
        <f>(WPF!M14+WPF!M24)/'Prognoza długu'!L25%</f>
        <v>106.45833049286389</v>
      </c>
      <c r="M56" s="260">
        <f>(WPF!N14+WPF!N24)/'Prognoza długu'!M25%</f>
        <v>106.792617677957</v>
      </c>
      <c r="N56" s="260">
        <f>(WPF!O14+WPF!O24)/'Prognoza długu'!N25%</f>
        <v>105.72639651743673</v>
      </c>
      <c r="O56" s="260">
        <f>(WPF!P14+WPF!P24)/'Prognoza długu'!O25%</f>
        <v>106.4358432036716</v>
      </c>
      <c r="P56" s="260">
        <f>(WPF!Q14+WPF!Q24)/'Prognoza długu'!P25%</f>
        <v>106.53574208204166</v>
      </c>
      <c r="Q56" s="261">
        <f>(WPF!R14+WPF!R24)/'Prognoza długu'!Q25%</f>
        <v>106.34241839386674</v>
      </c>
    </row>
    <row r="57" spans="1:17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</row>
    <row r="58" spans="1:17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</row>
  </sheetData>
  <mergeCells count="11"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  <mergeCell ref="C8:F8"/>
  </mergeCells>
  <printOptions horizontalCentered="1"/>
  <pageMargins left="0.59055118110236227" right="0.39370078740157483" top="0.98425196850393704" bottom="0.47244094488188981" header="0.51181102362204722" footer="0.51181102362204722"/>
  <pageSetup paperSize="9" scale="60" firstPageNumber="0" fitToHeight="2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tabSelected="1" showWhiteSpace="0" view="pageLayout" zoomScaleNormal="90" workbookViewId="0">
      <selection activeCell="A6" sqref="A6:Q7"/>
    </sheetView>
  </sheetViews>
  <sheetFormatPr defaultColWidth="11.5703125" defaultRowHeight="12.75"/>
  <cols>
    <col min="1" max="1" width="5.28515625" customWidth="1"/>
    <col min="2" max="2" width="44.5703125" customWidth="1"/>
    <col min="3" max="3" width="10.42578125" style="80" customWidth="1"/>
    <col min="4" max="4" width="6.5703125" style="80" customWidth="1"/>
    <col min="5" max="5" width="7" style="80" customWidth="1"/>
    <col min="6" max="6" width="5" style="80" customWidth="1"/>
    <col min="7" max="7" width="7" style="80" customWidth="1"/>
    <col min="8" max="8" width="6" style="80" customWidth="1"/>
    <col min="9" max="9" width="16.7109375" style="80" customWidth="1"/>
    <col min="10" max="10" width="14.42578125" style="80" customWidth="1"/>
    <col min="11" max="11" width="14.85546875" style="80" customWidth="1"/>
    <col min="12" max="12" width="14.7109375" style="80" customWidth="1"/>
    <col min="13" max="13" width="14.28515625" style="80" customWidth="1"/>
    <col min="14" max="14" width="14.5703125" style="80" customWidth="1"/>
    <col min="15" max="15" width="14.28515625" style="80" customWidth="1"/>
    <col min="16" max="16" width="0.42578125" style="80" customWidth="1"/>
    <col min="17" max="17" width="16.5703125" customWidth="1"/>
  </cols>
  <sheetData>
    <row r="1" spans="1:28" s="83" customFormat="1" ht="15" customHeight="1">
      <c r="A1" s="263"/>
      <c r="B1" s="264"/>
      <c r="C1" s="264"/>
      <c r="D1" s="264"/>
      <c r="E1" s="264"/>
      <c r="F1" s="264"/>
      <c r="G1" s="265"/>
      <c r="H1" s="264"/>
      <c r="I1" s="264"/>
      <c r="J1" s="264"/>
      <c r="K1" s="264"/>
      <c r="L1" s="264"/>
      <c r="M1" s="264"/>
      <c r="N1" s="264"/>
      <c r="O1" s="115" t="s">
        <v>153</v>
      </c>
      <c r="P1" s="115"/>
      <c r="Q1" s="264"/>
    </row>
    <row r="2" spans="1:28" s="86" customFormat="1" ht="4.5" customHeight="1">
      <c r="A2" s="263"/>
      <c r="B2" s="264"/>
      <c r="C2" s="264"/>
      <c r="D2" s="264"/>
      <c r="E2" s="264"/>
      <c r="F2" s="264"/>
      <c r="G2" s="266"/>
      <c r="H2" s="264"/>
      <c r="I2" s="264"/>
      <c r="J2" s="264"/>
      <c r="K2" s="264"/>
      <c r="L2" s="264"/>
      <c r="M2" s="264"/>
      <c r="N2" s="264"/>
      <c r="O2" s="120"/>
      <c r="P2" s="121"/>
      <c r="Q2" s="264"/>
    </row>
    <row r="3" spans="1:28" s="86" customFormat="1" ht="12.75" customHeight="1">
      <c r="A3" s="263"/>
      <c r="B3" s="264"/>
      <c r="C3" s="264"/>
      <c r="D3" s="264"/>
      <c r="E3" s="264"/>
      <c r="F3" s="264"/>
      <c r="G3" s="267"/>
      <c r="H3" s="264"/>
      <c r="I3" s="264"/>
      <c r="J3" s="264"/>
      <c r="K3" s="264"/>
      <c r="L3" s="264"/>
      <c r="M3" s="264"/>
      <c r="N3" s="264"/>
      <c r="O3" s="125" t="s">
        <v>238</v>
      </c>
      <c r="P3" s="121"/>
      <c r="Q3" s="264"/>
    </row>
    <row r="4" spans="1:28" s="86" customFormat="1" ht="12.75" customHeight="1">
      <c r="A4" s="263"/>
      <c r="B4" s="264"/>
      <c r="C4" s="264"/>
      <c r="D4" s="264"/>
      <c r="E4" s="264"/>
      <c r="F4" s="264"/>
      <c r="G4" s="267"/>
      <c r="H4" s="264"/>
      <c r="I4" s="264"/>
      <c r="J4" s="264"/>
      <c r="K4" s="264"/>
      <c r="L4" s="264"/>
      <c r="M4" s="264"/>
      <c r="N4" s="264"/>
      <c r="O4" s="125" t="s">
        <v>51</v>
      </c>
      <c r="P4" s="121"/>
      <c r="Q4" s="264"/>
    </row>
    <row r="5" spans="1:28" s="86" customFormat="1" ht="12.75" customHeight="1" thickBot="1">
      <c r="A5" s="268"/>
      <c r="B5" s="269"/>
      <c r="C5" s="269"/>
      <c r="D5" s="269"/>
      <c r="E5" s="269"/>
      <c r="F5" s="269"/>
      <c r="G5" s="267"/>
      <c r="H5" s="269"/>
      <c r="I5" s="269"/>
      <c r="J5" s="269"/>
      <c r="K5" s="269"/>
      <c r="L5" s="269"/>
      <c r="M5" s="269"/>
      <c r="N5" s="269"/>
      <c r="O5" s="125" t="s">
        <v>239</v>
      </c>
      <c r="P5" s="121"/>
      <c r="Q5" s="269"/>
    </row>
    <row r="6" spans="1:28" ht="12.75" customHeight="1">
      <c r="A6" s="474" t="s">
        <v>252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</row>
    <row r="7" spans="1:28" ht="21" customHeight="1" thickBot="1">
      <c r="A7" s="475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</row>
    <row r="8" spans="1:28" ht="24" customHeight="1">
      <c r="A8" s="492" t="s">
        <v>120</v>
      </c>
      <c r="B8" s="495" t="s">
        <v>154</v>
      </c>
      <c r="C8" s="489" t="s">
        <v>155</v>
      </c>
      <c r="D8" s="487" t="s">
        <v>156</v>
      </c>
      <c r="E8" s="487"/>
      <c r="F8" s="487" t="s">
        <v>157</v>
      </c>
      <c r="G8" s="487"/>
      <c r="H8" s="487"/>
      <c r="I8" s="476" t="s">
        <v>158</v>
      </c>
      <c r="J8" s="476" t="s">
        <v>159</v>
      </c>
      <c r="K8" s="476"/>
      <c r="L8" s="476"/>
      <c r="M8" s="476"/>
      <c r="N8" s="476"/>
      <c r="O8" s="476"/>
      <c r="P8" s="476"/>
      <c r="Q8" s="482" t="s">
        <v>160</v>
      </c>
    </row>
    <row r="9" spans="1:28" ht="18" customHeight="1">
      <c r="A9" s="493"/>
      <c r="B9" s="496"/>
      <c r="C9" s="490"/>
      <c r="D9" s="488"/>
      <c r="E9" s="488"/>
      <c r="F9" s="488"/>
      <c r="G9" s="488"/>
      <c r="H9" s="488"/>
      <c r="I9" s="498"/>
      <c r="J9" s="485">
        <v>2011</v>
      </c>
      <c r="K9" s="485"/>
      <c r="L9" s="486"/>
      <c r="M9" s="480">
        <v>2012</v>
      </c>
      <c r="N9" s="480">
        <v>2013</v>
      </c>
      <c r="O9" s="480">
        <v>2014</v>
      </c>
      <c r="P9" s="270">
        <v>2015</v>
      </c>
      <c r="Q9" s="483"/>
    </row>
    <row r="10" spans="1:28" ht="37.5" customHeight="1">
      <c r="A10" s="494"/>
      <c r="B10" s="497"/>
      <c r="C10" s="491"/>
      <c r="D10" s="270" t="s">
        <v>161</v>
      </c>
      <c r="E10" s="270" t="s">
        <v>162</v>
      </c>
      <c r="F10" s="270" t="s">
        <v>163</v>
      </c>
      <c r="G10" s="270" t="s">
        <v>164</v>
      </c>
      <c r="H10" s="270" t="s">
        <v>165</v>
      </c>
      <c r="I10" s="488"/>
      <c r="J10" s="271" t="s">
        <v>235</v>
      </c>
      <c r="K10" s="271" t="s">
        <v>236</v>
      </c>
      <c r="L10" s="271" t="s">
        <v>237</v>
      </c>
      <c r="M10" s="481"/>
      <c r="N10" s="481"/>
      <c r="O10" s="481"/>
      <c r="P10" s="270"/>
      <c r="Q10" s="484"/>
    </row>
    <row r="11" spans="1:28" s="81" customFormat="1" ht="18.75" customHeight="1">
      <c r="A11" s="272"/>
      <c r="B11" s="273" t="s">
        <v>166</v>
      </c>
      <c r="C11" s="274" t="s">
        <v>86</v>
      </c>
      <c r="D11" s="274" t="s">
        <v>86</v>
      </c>
      <c r="E11" s="274" t="s">
        <v>86</v>
      </c>
      <c r="F11" s="274"/>
      <c r="G11" s="274"/>
      <c r="H11" s="274"/>
      <c r="I11" s="275">
        <f>I12+I13</f>
        <v>163748364</v>
      </c>
      <c r="J11" s="276">
        <f>J12+J13</f>
        <v>44099705</v>
      </c>
      <c r="K11" s="276">
        <f t="shared" ref="K11:L11" si="0">K12+K13</f>
        <v>0</v>
      </c>
      <c r="L11" s="276">
        <f t="shared" si="0"/>
        <v>44099705</v>
      </c>
      <c r="M11" s="275">
        <f>M12+M13</f>
        <v>71050376</v>
      </c>
      <c r="N11" s="275">
        <f>N12+N13</f>
        <v>29101461</v>
      </c>
      <c r="O11" s="277">
        <f>O12+O13</f>
        <v>12329400</v>
      </c>
      <c r="P11" s="278">
        <v>0</v>
      </c>
      <c r="Q11" s="279">
        <f t="shared" ref="Q11:Q16" si="1">SUM(L11:O11)</f>
        <v>156580942</v>
      </c>
    </row>
    <row r="12" spans="1:28" s="87" customFormat="1" ht="15.75">
      <c r="A12" s="280"/>
      <c r="B12" s="281" t="s">
        <v>167</v>
      </c>
      <c r="C12" s="162" t="s">
        <v>86</v>
      </c>
      <c r="D12" s="162" t="s">
        <v>86</v>
      </c>
      <c r="E12" s="162" t="s">
        <v>86</v>
      </c>
      <c r="F12" s="162"/>
      <c r="G12" s="162"/>
      <c r="H12" s="162"/>
      <c r="I12" s="282">
        <f>I63</f>
        <v>2255434</v>
      </c>
      <c r="J12" s="283">
        <f>J63</f>
        <v>687917</v>
      </c>
      <c r="K12" s="283">
        <f t="shared" ref="K12" si="2">K63</f>
        <v>0</v>
      </c>
      <c r="L12" s="283">
        <f>L63</f>
        <v>687917</v>
      </c>
      <c r="M12" s="282">
        <f>M63</f>
        <v>687917</v>
      </c>
      <c r="N12" s="282">
        <f>N63</f>
        <v>550200</v>
      </c>
      <c r="O12" s="282">
        <f>O63</f>
        <v>329400</v>
      </c>
      <c r="P12" s="284">
        <v>0</v>
      </c>
      <c r="Q12" s="285">
        <f t="shared" si="1"/>
        <v>2255434</v>
      </c>
    </row>
    <row r="13" spans="1:28" s="87" customFormat="1" ht="15.75">
      <c r="A13" s="280"/>
      <c r="B13" s="281" t="s">
        <v>168</v>
      </c>
      <c r="C13" s="162" t="s">
        <v>86</v>
      </c>
      <c r="D13" s="162" t="s">
        <v>86</v>
      </c>
      <c r="E13" s="162" t="s">
        <v>86</v>
      </c>
      <c r="F13" s="162"/>
      <c r="G13" s="162"/>
      <c r="H13" s="162"/>
      <c r="I13" s="282">
        <f t="shared" ref="I13:O14" si="3">I14</f>
        <v>161492930</v>
      </c>
      <c r="J13" s="283">
        <f t="shared" si="3"/>
        <v>43411788</v>
      </c>
      <c r="K13" s="283">
        <f t="shared" si="3"/>
        <v>0</v>
      </c>
      <c r="L13" s="283">
        <f t="shared" si="3"/>
        <v>43411788</v>
      </c>
      <c r="M13" s="282">
        <f t="shared" si="3"/>
        <v>70362459</v>
      </c>
      <c r="N13" s="282">
        <f t="shared" si="3"/>
        <v>28551261</v>
      </c>
      <c r="O13" s="282">
        <f t="shared" si="3"/>
        <v>12000000</v>
      </c>
      <c r="P13" s="284">
        <v>0</v>
      </c>
      <c r="Q13" s="285">
        <f t="shared" si="1"/>
        <v>154325508</v>
      </c>
      <c r="R13" s="88"/>
    </row>
    <row r="14" spans="1:28" s="89" customFormat="1" ht="18.75" customHeight="1">
      <c r="A14" s="286" t="s">
        <v>169</v>
      </c>
      <c r="B14" s="287" t="s">
        <v>170</v>
      </c>
      <c r="C14" s="288" t="s">
        <v>86</v>
      </c>
      <c r="D14" s="288" t="s">
        <v>86</v>
      </c>
      <c r="E14" s="288" t="s">
        <v>86</v>
      </c>
      <c r="F14" s="288"/>
      <c r="G14" s="288"/>
      <c r="H14" s="288"/>
      <c r="I14" s="289">
        <f>I15</f>
        <v>161492930</v>
      </c>
      <c r="J14" s="290">
        <f t="shared" si="3"/>
        <v>43411788</v>
      </c>
      <c r="K14" s="290">
        <f t="shared" si="3"/>
        <v>0</v>
      </c>
      <c r="L14" s="290">
        <f t="shared" si="3"/>
        <v>43411788</v>
      </c>
      <c r="M14" s="289">
        <f t="shared" si="3"/>
        <v>70362459</v>
      </c>
      <c r="N14" s="289">
        <f t="shared" si="3"/>
        <v>28551261</v>
      </c>
      <c r="O14" s="291">
        <f>O15</f>
        <v>12000000</v>
      </c>
      <c r="P14" s="289">
        <f>P15</f>
        <v>0</v>
      </c>
      <c r="Q14" s="292">
        <f t="shared" si="1"/>
        <v>154325508</v>
      </c>
    </row>
    <row r="15" spans="1:28" s="87" customFormat="1" ht="15.75">
      <c r="A15" s="280"/>
      <c r="B15" s="281" t="s">
        <v>168</v>
      </c>
      <c r="C15" s="162" t="s">
        <v>86</v>
      </c>
      <c r="D15" s="162" t="s">
        <v>86</v>
      </c>
      <c r="E15" s="162" t="s">
        <v>86</v>
      </c>
      <c r="F15" s="162"/>
      <c r="G15" s="162"/>
      <c r="H15" s="162"/>
      <c r="I15" s="282">
        <f>I17+I52</f>
        <v>161492930</v>
      </c>
      <c r="J15" s="283">
        <f t="shared" ref="J15:P15" si="4">J17+J52</f>
        <v>43411788</v>
      </c>
      <c r="K15" s="283">
        <f t="shared" si="4"/>
        <v>0</v>
      </c>
      <c r="L15" s="283">
        <f t="shared" si="4"/>
        <v>43411788</v>
      </c>
      <c r="M15" s="282">
        <f t="shared" si="4"/>
        <v>70362459</v>
      </c>
      <c r="N15" s="282">
        <f t="shared" si="4"/>
        <v>28551261</v>
      </c>
      <c r="O15" s="282">
        <f t="shared" si="4"/>
        <v>12000000</v>
      </c>
      <c r="P15" s="282">
        <f t="shared" si="4"/>
        <v>0</v>
      </c>
      <c r="Q15" s="285">
        <f t="shared" si="1"/>
        <v>154325508</v>
      </c>
      <c r="R15" s="90"/>
      <c r="S15" s="90"/>
      <c r="T15" s="90"/>
      <c r="U15" s="90"/>
    </row>
    <row r="16" spans="1:28" s="93" customFormat="1" ht="79.5" customHeight="1">
      <c r="A16" s="286" t="s">
        <v>171</v>
      </c>
      <c r="B16" s="287" t="s">
        <v>172</v>
      </c>
      <c r="C16" s="288" t="s">
        <v>86</v>
      </c>
      <c r="D16" s="288" t="s">
        <v>86</v>
      </c>
      <c r="E16" s="288" t="s">
        <v>86</v>
      </c>
      <c r="F16" s="288"/>
      <c r="G16" s="288"/>
      <c r="H16" s="288"/>
      <c r="I16" s="289">
        <f>I17</f>
        <v>148079900</v>
      </c>
      <c r="J16" s="290">
        <f>J17</f>
        <v>41928588</v>
      </c>
      <c r="K16" s="290">
        <f t="shared" ref="K16:L16" si="5">K17</f>
        <v>0</v>
      </c>
      <c r="L16" s="290">
        <f t="shared" si="5"/>
        <v>41928588</v>
      </c>
      <c r="M16" s="289">
        <f>M17</f>
        <v>61510459</v>
      </c>
      <c r="N16" s="289">
        <f>N17</f>
        <v>25551261</v>
      </c>
      <c r="O16" s="289">
        <f>O17</f>
        <v>12000000</v>
      </c>
      <c r="P16" s="288">
        <v>0</v>
      </c>
      <c r="Q16" s="292">
        <f t="shared" si="1"/>
        <v>140990308</v>
      </c>
      <c r="R16" s="91"/>
      <c r="S16" s="91"/>
      <c r="T16" s="91"/>
      <c r="U16" s="91"/>
      <c r="V16" s="92"/>
      <c r="W16" s="92"/>
      <c r="X16" s="92"/>
      <c r="Y16" s="92"/>
      <c r="Z16" s="92"/>
      <c r="AA16" s="92"/>
      <c r="AB16" s="92"/>
    </row>
    <row r="17" spans="1:18" s="87" customFormat="1" ht="15.75">
      <c r="A17" s="280"/>
      <c r="B17" s="281" t="s">
        <v>168</v>
      </c>
      <c r="C17" s="162" t="s">
        <v>86</v>
      </c>
      <c r="D17" s="162" t="s">
        <v>86</v>
      </c>
      <c r="E17" s="162" t="s">
        <v>86</v>
      </c>
      <c r="F17" s="162"/>
      <c r="G17" s="162"/>
      <c r="H17" s="162"/>
      <c r="I17" s="282">
        <f>I18+I28+I42</f>
        <v>148079900</v>
      </c>
      <c r="J17" s="283">
        <f>J18+J28+J42</f>
        <v>41928588</v>
      </c>
      <c r="K17" s="283">
        <f t="shared" ref="K17:L17" si="6">K18+K28+K42</f>
        <v>0</v>
      </c>
      <c r="L17" s="283">
        <f t="shared" si="6"/>
        <v>41928588</v>
      </c>
      <c r="M17" s="282">
        <f t="shared" ref="M17:P17" si="7">M18+M28+M42</f>
        <v>61510459</v>
      </c>
      <c r="N17" s="282">
        <f t="shared" si="7"/>
        <v>25551261</v>
      </c>
      <c r="O17" s="282">
        <f t="shared" si="7"/>
        <v>12000000</v>
      </c>
      <c r="P17" s="282">
        <f t="shared" si="7"/>
        <v>0</v>
      </c>
      <c r="Q17" s="293">
        <f>Q18+Q28+Q42</f>
        <v>162760541</v>
      </c>
    </row>
    <row r="18" spans="1:18" s="94" customFormat="1" ht="30.75" customHeight="1">
      <c r="A18" s="294" t="s">
        <v>173</v>
      </c>
      <c r="B18" s="295" t="s">
        <v>174</v>
      </c>
      <c r="C18" s="296" t="s">
        <v>175</v>
      </c>
      <c r="D18" s="297">
        <v>2004</v>
      </c>
      <c r="E18" s="297">
        <v>2013</v>
      </c>
      <c r="F18" s="477" t="s">
        <v>176</v>
      </c>
      <c r="G18" s="477"/>
      <c r="H18" s="477"/>
      <c r="I18" s="298">
        <f>I24+I19</f>
        <v>65068445</v>
      </c>
      <c r="J18" s="299">
        <f>J24+J19</f>
        <v>16712038</v>
      </c>
      <c r="K18" s="299">
        <f t="shared" ref="K18:L18" si="8">K24+K19</f>
        <v>-68805</v>
      </c>
      <c r="L18" s="299">
        <f t="shared" si="8"/>
        <v>16643233</v>
      </c>
      <c r="M18" s="298">
        <f>M24+M19</f>
        <v>39440541</v>
      </c>
      <c r="N18" s="298">
        <f>N24+N19</f>
        <v>4351261</v>
      </c>
      <c r="O18" s="298">
        <f>O24+O19</f>
        <v>0</v>
      </c>
      <c r="P18" s="300"/>
      <c r="Q18" s="301">
        <f>SUM(L18:O18)</f>
        <v>60435035</v>
      </c>
    </row>
    <row r="19" spans="1:18" s="50" customFormat="1" ht="15.75" customHeight="1">
      <c r="A19" s="302" t="s">
        <v>177</v>
      </c>
      <c r="B19" s="478" t="s">
        <v>178</v>
      </c>
      <c r="C19" s="303" t="s">
        <v>179</v>
      </c>
      <c r="D19" s="304">
        <v>2004</v>
      </c>
      <c r="E19" s="304">
        <v>2013</v>
      </c>
      <c r="F19" s="479" t="s">
        <v>180</v>
      </c>
      <c r="G19" s="479"/>
      <c r="H19" s="479"/>
      <c r="I19" s="305">
        <f>SUM(I20:I22)</f>
        <v>35492553</v>
      </c>
      <c r="J19" s="283">
        <f>SUM(J20:J22)</f>
        <v>4733123</v>
      </c>
      <c r="K19" s="283">
        <f t="shared" ref="K19:L19" si="9">SUM(K20:K22)</f>
        <v>0</v>
      </c>
      <c r="L19" s="283">
        <f t="shared" si="9"/>
        <v>4733123</v>
      </c>
      <c r="M19" s="305">
        <f>SUM(M20:M22)</f>
        <v>24551540</v>
      </c>
      <c r="N19" s="305">
        <f>SUM(N20:N22)</f>
        <v>4351261</v>
      </c>
      <c r="O19" s="304">
        <v>0</v>
      </c>
      <c r="P19" s="304">
        <v>0</v>
      </c>
      <c r="Q19" s="285">
        <f>SUM(L19:O19)</f>
        <v>33635924</v>
      </c>
    </row>
    <row r="20" spans="1:18" s="50" customFormat="1">
      <c r="A20" s="302"/>
      <c r="B20" s="478"/>
      <c r="C20" s="306"/>
      <c r="D20" s="306"/>
      <c r="E20" s="306"/>
      <c r="F20" s="306" t="s">
        <v>181</v>
      </c>
      <c r="G20" s="306" t="s">
        <v>182</v>
      </c>
      <c r="H20" s="306">
        <v>6050</v>
      </c>
      <c r="I20" s="307">
        <v>4932553</v>
      </c>
      <c r="J20" s="308">
        <v>1305123</v>
      </c>
      <c r="K20" s="308">
        <v>-359000</v>
      </c>
      <c r="L20" s="308">
        <f>J20+K20</f>
        <v>946123</v>
      </c>
      <c r="M20" s="307">
        <v>2139000</v>
      </c>
      <c r="N20" s="309"/>
      <c r="O20" s="310"/>
      <c r="P20" s="310"/>
      <c r="Q20" s="311">
        <f t="shared" ref="Q20:Q21" si="10">SUM(L20:O20)</f>
        <v>3085123</v>
      </c>
    </row>
    <row r="21" spans="1:18" s="50" customFormat="1">
      <c r="A21" s="302"/>
      <c r="B21" s="312"/>
      <c r="C21" s="313"/>
      <c r="D21" s="313"/>
      <c r="E21" s="313"/>
      <c r="F21" s="313"/>
      <c r="G21" s="313"/>
      <c r="H21" s="313">
        <v>6058</v>
      </c>
      <c r="I21" s="314">
        <f>SUM(L21:N21)</f>
        <v>21555500</v>
      </c>
      <c r="J21" s="315"/>
      <c r="K21" s="315"/>
      <c r="L21" s="315">
        <f t="shared" ref="L21:L22" si="11">J21+K21</f>
        <v>0</v>
      </c>
      <c r="M21" s="314">
        <v>17722999</v>
      </c>
      <c r="N21" s="316">
        <v>3832501</v>
      </c>
      <c r="O21" s="317"/>
      <c r="P21" s="317"/>
      <c r="Q21" s="318">
        <f t="shared" si="10"/>
        <v>21555500</v>
      </c>
    </row>
    <row r="22" spans="1:18" s="50" customFormat="1">
      <c r="A22" s="302"/>
      <c r="B22" s="319"/>
      <c r="C22" s="320"/>
      <c r="D22" s="320"/>
      <c r="E22" s="320"/>
      <c r="F22" s="320"/>
      <c r="G22" s="320"/>
      <c r="H22" s="320">
        <v>6059</v>
      </c>
      <c r="I22" s="321">
        <v>9004500</v>
      </c>
      <c r="J22" s="322">
        <v>3428000</v>
      </c>
      <c r="K22" s="322">
        <v>359000</v>
      </c>
      <c r="L22" s="322">
        <f t="shared" si="11"/>
        <v>3787000</v>
      </c>
      <c r="M22" s="321">
        <v>4689541</v>
      </c>
      <c r="N22" s="323">
        <v>518760</v>
      </c>
      <c r="O22" s="324"/>
      <c r="P22" s="324"/>
      <c r="Q22" s="325">
        <f>SUM(L22:O22)</f>
        <v>8995301</v>
      </c>
    </row>
    <row r="23" spans="1:18" s="50" customFormat="1" ht="9" customHeight="1">
      <c r="A23" s="302"/>
      <c r="B23" s="326"/>
      <c r="C23" s="303"/>
      <c r="D23" s="327"/>
      <c r="E23" s="327"/>
      <c r="F23" s="328"/>
      <c r="G23" s="329"/>
      <c r="H23" s="330"/>
      <c r="I23" s="111"/>
      <c r="J23" s="331"/>
      <c r="K23" s="331"/>
      <c r="L23" s="331"/>
      <c r="M23" s="111"/>
      <c r="N23" s="305"/>
      <c r="O23" s="304"/>
      <c r="P23" s="304"/>
      <c r="Q23" s="285">
        <f t="shared" ref="Q23:Q42" si="12">SUM(J23:O23)</f>
        <v>0</v>
      </c>
    </row>
    <row r="24" spans="1:18" s="50" customFormat="1" ht="14.25" customHeight="1">
      <c r="A24" s="302" t="s">
        <v>183</v>
      </c>
      <c r="B24" s="500" t="s">
        <v>184</v>
      </c>
      <c r="C24" s="303" t="s">
        <v>179</v>
      </c>
      <c r="D24" s="327">
        <v>2004</v>
      </c>
      <c r="E24" s="327">
        <v>2012</v>
      </c>
      <c r="F24" s="501" t="s">
        <v>180</v>
      </c>
      <c r="G24" s="501"/>
      <c r="H24" s="501"/>
      <c r="I24" s="305">
        <f>SUM(I25:I27)</f>
        <v>29575892</v>
      </c>
      <c r="J24" s="283">
        <f>SUM(J25:J27)</f>
        <v>11978915</v>
      </c>
      <c r="K24" s="283">
        <f>SUM(K25:K27)</f>
        <v>-68805</v>
      </c>
      <c r="L24" s="283">
        <f>J24+K24</f>
        <v>11910110</v>
      </c>
      <c r="M24" s="305">
        <f>SUM(M25:M27)</f>
        <v>14889001</v>
      </c>
      <c r="N24" s="305">
        <f>SUM(N25:N27)</f>
        <v>0</v>
      </c>
      <c r="O24" s="304">
        <v>0</v>
      </c>
      <c r="P24" s="304">
        <v>0</v>
      </c>
      <c r="Q24" s="285">
        <f>SUM(L24:O24)</f>
        <v>26799111</v>
      </c>
    </row>
    <row r="25" spans="1:18" s="50" customFormat="1">
      <c r="A25" s="302"/>
      <c r="B25" s="500"/>
      <c r="C25" s="303"/>
      <c r="D25" s="327"/>
      <c r="E25" s="327"/>
      <c r="F25" s="306" t="s">
        <v>181</v>
      </c>
      <c r="G25" s="306" t="s">
        <v>182</v>
      </c>
      <c r="H25" s="306">
        <v>6050</v>
      </c>
      <c r="I25" s="307">
        <v>5657097</v>
      </c>
      <c r="J25" s="308">
        <v>2181315</v>
      </c>
      <c r="K25" s="308"/>
      <c r="L25" s="332">
        <f t="shared" ref="L25:L50" si="13">J25+K25</f>
        <v>2181315</v>
      </c>
      <c r="M25" s="307">
        <v>699001</v>
      </c>
      <c r="N25" s="309"/>
      <c r="O25" s="310"/>
      <c r="P25" s="310"/>
      <c r="Q25" s="311">
        <f>SUM(L25:O25)</f>
        <v>2880316</v>
      </c>
    </row>
    <row r="26" spans="1:18" s="50" customFormat="1">
      <c r="A26" s="302"/>
      <c r="B26" s="319"/>
      <c r="C26" s="303"/>
      <c r="D26" s="327"/>
      <c r="E26" s="327"/>
      <c r="F26" s="313"/>
      <c r="G26" s="313"/>
      <c r="H26" s="313">
        <v>6058</v>
      </c>
      <c r="I26" s="314">
        <f>SUM(L26:N26)</f>
        <v>19711490</v>
      </c>
      <c r="J26" s="315">
        <v>9076490</v>
      </c>
      <c r="K26" s="315"/>
      <c r="L26" s="333">
        <f t="shared" si="13"/>
        <v>9076490</v>
      </c>
      <c r="M26" s="314">
        <v>10635000</v>
      </c>
      <c r="N26" s="316"/>
      <c r="O26" s="317"/>
      <c r="P26" s="317"/>
      <c r="Q26" s="318">
        <f t="shared" ref="Q26" si="14">SUM(L26:O26)</f>
        <v>19711490</v>
      </c>
    </row>
    <row r="27" spans="1:18" s="50" customFormat="1" ht="15.75">
      <c r="A27" s="302"/>
      <c r="B27" s="334"/>
      <c r="C27" s="335"/>
      <c r="D27" s="336"/>
      <c r="E27" s="327"/>
      <c r="F27" s="320"/>
      <c r="G27" s="320"/>
      <c r="H27" s="320">
        <v>6059</v>
      </c>
      <c r="I27" s="321">
        <f>SUM(L27:N27)</f>
        <v>4207305</v>
      </c>
      <c r="J27" s="322">
        <v>721110</v>
      </c>
      <c r="K27" s="322">
        <v>-68805</v>
      </c>
      <c r="L27" s="337">
        <f t="shared" si="13"/>
        <v>652305</v>
      </c>
      <c r="M27" s="321">
        <v>3555000</v>
      </c>
      <c r="N27" s="323"/>
      <c r="O27" s="324"/>
      <c r="P27" s="324"/>
      <c r="Q27" s="325">
        <f t="shared" ref="Q27:Q35" si="15">SUM(L27:O27)</f>
        <v>4207305</v>
      </c>
    </row>
    <row r="28" spans="1:18" s="89" customFormat="1" ht="15.6" customHeight="1">
      <c r="A28" s="338" t="s">
        <v>185</v>
      </c>
      <c r="B28" s="339" t="s">
        <v>186</v>
      </c>
      <c r="C28" s="340" t="s">
        <v>175</v>
      </c>
      <c r="D28" s="340">
        <v>2009</v>
      </c>
      <c r="E28" s="340">
        <v>2012</v>
      </c>
      <c r="F28" s="499" t="s">
        <v>187</v>
      </c>
      <c r="G28" s="499"/>
      <c r="H28" s="499"/>
      <c r="I28" s="341">
        <f>SUM(I29+I32+I35+I39)</f>
        <v>6070000</v>
      </c>
      <c r="J28" s="342">
        <f>J29+J32+J35+J39</f>
        <v>3515122</v>
      </c>
      <c r="K28" s="342">
        <f t="shared" ref="K28:L28" si="16">K29+K32+K35+K39</f>
        <v>0</v>
      </c>
      <c r="L28" s="342">
        <f t="shared" si="16"/>
        <v>3515122</v>
      </c>
      <c r="M28" s="343">
        <f>M29+M32+M35+M39</f>
        <v>2469918</v>
      </c>
      <c r="N28" s="343">
        <f>N29+N32+N35+N39</f>
        <v>0</v>
      </c>
      <c r="O28" s="343">
        <f>SUM(O29:O39)</f>
        <v>0</v>
      </c>
      <c r="P28" s="344"/>
      <c r="Q28" s="345">
        <f t="shared" si="15"/>
        <v>5985040</v>
      </c>
      <c r="R28" s="95">
        <f>R29+R32+R35+R39</f>
        <v>5985040</v>
      </c>
    </row>
    <row r="29" spans="1:18" s="50" customFormat="1" ht="13.35" customHeight="1">
      <c r="A29" s="302" t="s">
        <v>188</v>
      </c>
      <c r="B29" s="319" t="s">
        <v>189</v>
      </c>
      <c r="C29" s="346" t="s">
        <v>190</v>
      </c>
      <c r="D29" s="346">
        <v>2010</v>
      </c>
      <c r="E29" s="346">
        <v>2012</v>
      </c>
      <c r="F29" s="504" t="s">
        <v>180</v>
      </c>
      <c r="G29" s="504"/>
      <c r="H29" s="504"/>
      <c r="I29" s="347">
        <f>SUM(I30:I31)</f>
        <v>1500000</v>
      </c>
      <c r="J29" s="331">
        <f>SUM(J30:J31)</f>
        <v>875000</v>
      </c>
      <c r="K29" s="331"/>
      <c r="L29" s="283">
        <f t="shared" si="13"/>
        <v>875000</v>
      </c>
      <c r="M29" s="347">
        <f>SUM(M30:M31)</f>
        <v>620120</v>
      </c>
      <c r="N29" s="347">
        <f>SUM(N30:N31)</f>
        <v>0</v>
      </c>
      <c r="O29" s="348">
        <v>0</v>
      </c>
      <c r="P29" s="348">
        <v>0</v>
      </c>
      <c r="Q29" s="349">
        <f t="shared" si="15"/>
        <v>1495120</v>
      </c>
      <c r="R29" s="79">
        <f>Q30+Q31</f>
        <v>1495120</v>
      </c>
    </row>
    <row r="30" spans="1:18" s="50" customFormat="1">
      <c r="A30" s="302"/>
      <c r="B30" s="319"/>
      <c r="C30" s="306"/>
      <c r="D30" s="306"/>
      <c r="E30" s="306"/>
      <c r="F30" s="306">
        <v>921</v>
      </c>
      <c r="G30" s="306">
        <v>92109</v>
      </c>
      <c r="H30" s="306">
        <v>6058</v>
      </c>
      <c r="I30" s="307">
        <f>SUM(L30:N30)</f>
        <v>1275000</v>
      </c>
      <c r="J30" s="308">
        <v>800000</v>
      </c>
      <c r="K30" s="308"/>
      <c r="L30" s="332">
        <f t="shared" si="13"/>
        <v>800000</v>
      </c>
      <c r="M30" s="307">
        <v>475000</v>
      </c>
      <c r="N30" s="310"/>
      <c r="O30" s="310"/>
      <c r="P30" s="310"/>
      <c r="Q30" s="311">
        <f t="shared" si="15"/>
        <v>1275000</v>
      </c>
    </row>
    <row r="31" spans="1:18" s="50" customFormat="1">
      <c r="A31" s="302"/>
      <c r="B31" s="319"/>
      <c r="C31" s="320"/>
      <c r="D31" s="320"/>
      <c r="E31" s="320"/>
      <c r="F31" s="320"/>
      <c r="G31" s="320"/>
      <c r="H31" s="320">
        <v>6059</v>
      </c>
      <c r="I31" s="321">
        <v>225000</v>
      </c>
      <c r="J31" s="322">
        <v>75000</v>
      </c>
      <c r="K31" s="322"/>
      <c r="L31" s="337">
        <f t="shared" si="13"/>
        <v>75000</v>
      </c>
      <c r="M31" s="321">
        <v>145120</v>
      </c>
      <c r="N31" s="324"/>
      <c r="O31" s="324"/>
      <c r="P31" s="324"/>
      <c r="Q31" s="325">
        <f t="shared" si="15"/>
        <v>220120</v>
      </c>
    </row>
    <row r="32" spans="1:18" s="50" customFormat="1" ht="14.25" customHeight="1">
      <c r="A32" s="302" t="s">
        <v>191</v>
      </c>
      <c r="B32" s="319" t="s">
        <v>192</v>
      </c>
      <c r="C32" s="346" t="s">
        <v>190</v>
      </c>
      <c r="D32" s="346">
        <v>2010</v>
      </c>
      <c r="E32" s="346">
        <v>2012</v>
      </c>
      <c r="F32" s="504" t="s">
        <v>180</v>
      </c>
      <c r="G32" s="504"/>
      <c r="H32" s="504"/>
      <c r="I32" s="347">
        <f>I34+I33</f>
        <v>1500000</v>
      </c>
      <c r="J32" s="331">
        <f>SUM(J33:J34)</f>
        <v>875000</v>
      </c>
      <c r="K32" s="331">
        <f t="shared" ref="K32:L32" si="17">SUM(K33:K34)</f>
        <v>0</v>
      </c>
      <c r="L32" s="331">
        <f t="shared" si="17"/>
        <v>875000</v>
      </c>
      <c r="M32" s="347">
        <f>SUM(M33:M34)</f>
        <v>620120</v>
      </c>
      <c r="N32" s="347">
        <f>SUM(N33:N34)</f>
        <v>0</v>
      </c>
      <c r="O32" s="348">
        <v>0</v>
      </c>
      <c r="P32" s="348">
        <v>0</v>
      </c>
      <c r="Q32" s="349">
        <f t="shared" si="15"/>
        <v>1495120</v>
      </c>
      <c r="R32" s="79">
        <f>Q33+Q34</f>
        <v>1495120</v>
      </c>
    </row>
    <row r="33" spans="1:18" s="50" customFormat="1" ht="12.75" customHeight="1">
      <c r="A33" s="302"/>
      <c r="B33" s="319"/>
      <c r="C33" s="327"/>
      <c r="D33" s="327"/>
      <c r="E33" s="327"/>
      <c r="F33" s="306">
        <v>921</v>
      </c>
      <c r="G33" s="306">
        <v>92109</v>
      </c>
      <c r="H33" s="306">
        <v>6058</v>
      </c>
      <c r="I33" s="307">
        <f>SUM(L33:N33)</f>
        <v>1275000</v>
      </c>
      <c r="J33" s="308">
        <v>800000</v>
      </c>
      <c r="K33" s="308"/>
      <c r="L33" s="332">
        <f t="shared" si="13"/>
        <v>800000</v>
      </c>
      <c r="M33" s="307">
        <v>475000</v>
      </c>
      <c r="N33" s="310"/>
      <c r="O33" s="310"/>
      <c r="P33" s="310"/>
      <c r="Q33" s="311">
        <f t="shared" si="15"/>
        <v>1275000</v>
      </c>
    </row>
    <row r="34" spans="1:18" s="50" customFormat="1" ht="12.75" customHeight="1">
      <c r="A34" s="302"/>
      <c r="B34" s="319"/>
      <c r="C34" s="327"/>
      <c r="D34" s="327"/>
      <c r="E34" s="327"/>
      <c r="F34" s="320"/>
      <c r="G34" s="320"/>
      <c r="H34" s="320">
        <v>6059</v>
      </c>
      <c r="I34" s="321">
        <v>225000</v>
      </c>
      <c r="J34" s="322">
        <v>75000</v>
      </c>
      <c r="K34" s="322"/>
      <c r="L34" s="337">
        <f t="shared" si="13"/>
        <v>75000</v>
      </c>
      <c r="M34" s="321">
        <v>145120</v>
      </c>
      <c r="N34" s="324"/>
      <c r="O34" s="324"/>
      <c r="P34" s="324"/>
      <c r="Q34" s="325">
        <f t="shared" si="15"/>
        <v>220120</v>
      </c>
    </row>
    <row r="35" spans="1:18" s="50" customFormat="1" ht="15" customHeight="1">
      <c r="A35" s="302" t="s">
        <v>193</v>
      </c>
      <c r="B35" s="500" t="s">
        <v>194</v>
      </c>
      <c r="C35" s="346" t="s">
        <v>190</v>
      </c>
      <c r="D35" s="346">
        <v>2009</v>
      </c>
      <c r="E35" s="346">
        <v>2012</v>
      </c>
      <c r="F35" s="504" t="s">
        <v>180</v>
      </c>
      <c r="G35" s="504"/>
      <c r="H35" s="504"/>
      <c r="I35" s="347">
        <f>SUM(I36:I38)</f>
        <v>1570000</v>
      </c>
      <c r="J35" s="331">
        <f>SUM(J37:J38)</f>
        <v>890122</v>
      </c>
      <c r="K35" s="331">
        <f>SUM(K37:K38)</f>
        <v>0</v>
      </c>
      <c r="L35" s="283">
        <f t="shared" si="13"/>
        <v>890122</v>
      </c>
      <c r="M35" s="347">
        <f>SUM(M37:M38)</f>
        <v>609558</v>
      </c>
      <c r="N35" s="347">
        <f>SUM(N37:N38)</f>
        <v>0</v>
      </c>
      <c r="O35" s="348">
        <v>0</v>
      </c>
      <c r="P35" s="348">
        <v>0</v>
      </c>
      <c r="Q35" s="349">
        <f t="shared" si="15"/>
        <v>1499680</v>
      </c>
      <c r="R35" s="79">
        <f>Q37+Q38</f>
        <v>1499680</v>
      </c>
    </row>
    <row r="36" spans="1:18" s="50" customFormat="1" ht="15" customHeight="1">
      <c r="A36" s="302"/>
      <c r="B36" s="500"/>
      <c r="C36" s="327"/>
      <c r="D36" s="327"/>
      <c r="E36" s="327"/>
      <c r="F36" s="306">
        <v>921</v>
      </c>
      <c r="G36" s="306">
        <v>92109</v>
      </c>
      <c r="H36" s="350">
        <v>6050</v>
      </c>
      <c r="I36" s="351">
        <v>70320</v>
      </c>
      <c r="J36" s="352"/>
      <c r="K36" s="352"/>
      <c r="L36" s="283">
        <f t="shared" si="13"/>
        <v>0</v>
      </c>
      <c r="M36" s="351"/>
      <c r="N36" s="351"/>
      <c r="O36" s="353"/>
      <c r="P36" s="353"/>
      <c r="Q36" s="285"/>
    </row>
    <row r="37" spans="1:18" s="50" customFormat="1">
      <c r="A37" s="302"/>
      <c r="B37" s="500"/>
      <c r="C37" s="327"/>
      <c r="D37" s="327"/>
      <c r="E37" s="327"/>
      <c r="F37" s="306"/>
      <c r="G37" s="306"/>
      <c r="H37" s="306">
        <v>6058</v>
      </c>
      <c r="I37" s="307">
        <f>SUM(L37:N37)</f>
        <v>1375000</v>
      </c>
      <c r="J37" s="308">
        <v>825442</v>
      </c>
      <c r="K37" s="308"/>
      <c r="L37" s="332">
        <f t="shared" si="13"/>
        <v>825442</v>
      </c>
      <c r="M37" s="307">
        <v>549558</v>
      </c>
      <c r="N37" s="310"/>
      <c r="O37" s="310"/>
      <c r="P37" s="310"/>
      <c r="Q37" s="311">
        <f>SUM(L37:O37)</f>
        <v>1375000</v>
      </c>
    </row>
    <row r="38" spans="1:18" s="50" customFormat="1" ht="12" customHeight="1">
      <c r="A38" s="302"/>
      <c r="B38" s="319"/>
      <c r="C38" s="327"/>
      <c r="D38" s="327"/>
      <c r="E38" s="327"/>
      <c r="F38" s="320"/>
      <c r="G38" s="320"/>
      <c r="H38" s="320">
        <v>6059</v>
      </c>
      <c r="I38" s="321">
        <f>SUM(L38:N38)</f>
        <v>124680</v>
      </c>
      <c r="J38" s="322">
        <v>64680</v>
      </c>
      <c r="K38" s="322"/>
      <c r="L38" s="337">
        <f t="shared" si="13"/>
        <v>64680</v>
      </c>
      <c r="M38" s="321">
        <v>60000</v>
      </c>
      <c r="N38" s="324"/>
      <c r="O38" s="324"/>
      <c r="P38" s="324"/>
      <c r="Q38" s="325">
        <f>SUM(L38:O38)</f>
        <v>124680</v>
      </c>
    </row>
    <row r="39" spans="1:18" s="50" customFormat="1" ht="13.35" customHeight="1">
      <c r="A39" s="302" t="s">
        <v>195</v>
      </c>
      <c r="B39" s="319" t="s">
        <v>196</v>
      </c>
      <c r="C39" s="346" t="s">
        <v>190</v>
      </c>
      <c r="D39" s="346">
        <v>2010</v>
      </c>
      <c r="E39" s="346">
        <v>2012</v>
      </c>
      <c r="F39" s="504" t="s">
        <v>180</v>
      </c>
      <c r="G39" s="504"/>
      <c r="H39" s="504"/>
      <c r="I39" s="347">
        <f>I40+I41</f>
        <v>1500000</v>
      </c>
      <c r="J39" s="331">
        <f>SUM(J40:J41)</f>
        <v>875000</v>
      </c>
      <c r="K39" s="331">
        <f>SUM(K40:K41)</f>
        <v>0</v>
      </c>
      <c r="L39" s="283">
        <f t="shared" si="13"/>
        <v>875000</v>
      </c>
      <c r="M39" s="347">
        <f>SUM(M40:M41)</f>
        <v>620120</v>
      </c>
      <c r="N39" s="347">
        <f>SUM(N40:N41)</f>
        <v>0</v>
      </c>
      <c r="O39" s="348">
        <v>0</v>
      </c>
      <c r="P39" s="348">
        <v>0</v>
      </c>
      <c r="Q39" s="349">
        <f>SUM(L39:O39)</f>
        <v>1495120</v>
      </c>
      <c r="R39" s="79">
        <f>Q40+Q41</f>
        <v>1495120</v>
      </c>
    </row>
    <row r="40" spans="1:18" s="50" customFormat="1">
      <c r="A40" s="302"/>
      <c r="B40" s="319"/>
      <c r="C40" s="327"/>
      <c r="D40" s="327"/>
      <c r="E40" s="327"/>
      <c r="F40" s="306">
        <v>921</v>
      </c>
      <c r="G40" s="306">
        <v>92109</v>
      </c>
      <c r="H40" s="306">
        <v>6058</v>
      </c>
      <c r="I40" s="307">
        <f>SUM(L40:N40)</f>
        <v>1275000</v>
      </c>
      <c r="J40" s="308">
        <v>800000</v>
      </c>
      <c r="K40" s="308"/>
      <c r="L40" s="332">
        <f t="shared" si="13"/>
        <v>800000</v>
      </c>
      <c r="M40" s="307">
        <v>475000</v>
      </c>
      <c r="N40" s="310"/>
      <c r="O40" s="310"/>
      <c r="P40" s="310"/>
      <c r="Q40" s="311">
        <f>SUM(L40:O40)</f>
        <v>1275000</v>
      </c>
    </row>
    <row r="41" spans="1:18" s="50" customFormat="1">
      <c r="A41" s="302"/>
      <c r="B41" s="319"/>
      <c r="C41" s="327"/>
      <c r="D41" s="327"/>
      <c r="E41" s="327"/>
      <c r="F41" s="320"/>
      <c r="G41" s="320"/>
      <c r="H41" s="320">
        <v>6059</v>
      </c>
      <c r="I41" s="321">
        <v>225000</v>
      </c>
      <c r="J41" s="322">
        <v>75000</v>
      </c>
      <c r="K41" s="322"/>
      <c r="L41" s="337">
        <f t="shared" si="13"/>
        <v>75000</v>
      </c>
      <c r="M41" s="321">
        <v>145120</v>
      </c>
      <c r="N41" s="324"/>
      <c r="O41" s="324"/>
      <c r="P41" s="324"/>
      <c r="Q41" s="325">
        <f>SUM(L41:O41)</f>
        <v>220120</v>
      </c>
    </row>
    <row r="42" spans="1:18" s="89" customFormat="1" ht="15.75">
      <c r="A42" s="354" t="s">
        <v>197</v>
      </c>
      <c r="B42" s="355" t="s">
        <v>198</v>
      </c>
      <c r="C42" s="356" t="s">
        <v>175</v>
      </c>
      <c r="D42" s="356">
        <v>2006</v>
      </c>
      <c r="E42" s="356">
        <v>2014</v>
      </c>
      <c r="F42" s="356"/>
      <c r="G42" s="356"/>
      <c r="H42" s="356"/>
      <c r="I42" s="298">
        <f>I43</f>
        <v>76941455</v>
      </c>
      <c r="J42" s="342">
        <f>J43</f>
        <v>21701428</v>
      </c>
      <c r="K42" s="342">
        <f>K43</f>
        <v>68805</v>
      </c>
      <c r="L42" s="283">
        <f t="shared" si="13"/>
        <v>21770233</v>
      </c>
      <c r="M42" s="168">
        <f>M43</f>
        <v>19600000</v>
      </c>
      <c r="N42" s="168">
        <f>N43</f>
        <v>21200000</v>
      </c>
      <c r="O42" s="357">
        <f>O43</f>
        <v>12000000</v>
      </c>
      <c r="P42" s="358"/>
      <c r="Q42" s="301">
        <f t="shared" si="12"/>
        <v>96340466</v>
      </c>
    </row>
    <row r="43" spans="1:18" s="50" customFormat="1" ht="25.35" customHeight="1" thickBot="1">
      <c r="A43" s="359" t="s">
        <v>199</v>
      </c>
      <c r="B43" s="326" t="s">
        <v>200</v>
      </c>
      <c r="C43" s="360" t="s">
        <v>179</v>
      </c>
      <c r="D43" s="361">
        <v>2006</v>
      </c>
      <c r="E43" s="361">
        <v>2014</v>
      </c>
      <c r="F43" s="505" t="s">
        <v>180</v>
      </c>
      <c r="G43" s="505"/>
      <c r="H43" s="505"/>
      <c r="I43" s="362">
        <f>SUM(I44:I50)</f>
        <v>76941455</v>
      </c>
      <c r="J43" s="363">
        <f t="shared" ref="J43:P43" si="18">SUM(J44:J50)</f>
        <v>21701428</v>
      </c>
      <c r="K43" s="363">
        <f t="shared" si="18"/>
        <v>68805</v>
      </c>
      <c r="L43" s="363">
        <f t="shared" si="13"/>
        <v>21770233</v>
      </c>
      <c r="M43" s="362">
        <f t="shared" si="18"/>
        <v>19600000</v>
      </c>
      <c r="N43" s="362">
        <f t="shared" si="18"/>
        <v>21200000</v>
      </c>
      <c r="O43" s="362">
        <f t="shared" si="18"/>
        <v>12000000</v>
      </c>
      <c r="P43" s="362">
        <f t="shared" si="18"/>
        <v>0</v>
      </c>
      <c r="Q43" s="364">
        <f t="shared" ref="Q43:Q54" si="19">SUM(L43:O43)</f>
        <v>74570233</v>
      </c>
    </row>
    <row r="44" spans="1:18" s="50" customFormat="1">
      <c r="A44" s="365"/>
      <c r="B44" s="366" t="s">
        <v>201</v>
      </c>
      <c r="C44" s="367"/>
      <c r="D44" s="367"/>
      <c r="E44" s="367"/>
      <c r="F44" s="367">
        <v>801</v>
      </c>
      <c r="G44" s="367">
        <v>80101</v>
      </c>
      <c r="H44" s="367">
        <v>6050</v>
      </c>
      <c r="I44" s="368">
        <v>3041455</v>
      </c>
      <c r="J44" s="369">
        <v>601428</v>
      </c>
      <c r="K44" s="369">
        <v>68805</v>
      </c>
      <c r="L44" s="370">
        <f t="shared" si="13"/>
        <v>670233</v>
      </c>
      <c r="M44" s="368"/>
      <c r="N44" s="371"/>
      <c r="O44" s="372"/>
      <c r="P44" s="372"/>
      <c r="Q44" s="373">
        <f t="shared" si="19"/>
        <v>670233</v>
      </c>
    </row>
    <row r="45" spans="1:18" s="50" customFormat="1">
      <c r="A45" s="374"/>
      <c r="B45" s="375"/>
      <c r="C45" s="313"/>
      <c r="D45" s="313"/>
      <c r="E45" s="313"/>
      <c r="F45" s="313"/>
      <c r="G45" s="313"/>
      <c r="H45" s="313">
        <v>6058</v>
      </c>
      <c r="I45" s="314">
        <f>SUM(L45:N45)</f>
        <v>14000000</v>
      </c>
      <c r="J45" s="315">
        <v>10000000</v>
      </c>
      <c r="K45" s="315"/>
      <c r="L45" s="333">
        <f t="shared" si="13"/>
        <v>10000000</v>
      </c>
      <c r="M45" s="314">
        <v>4000000</v>
      </c>
      <c r="N45" s="316"/>
      <c r="O45" s="317"/>
      <c r="P45" s="317"/>
      <c r="Q45" s="318">
        <f t="shared" si="19"/>
        <v>14000000</v>
      </c>
    </row>
    <row r="46" spans="1:18" s="50" customFormat="1" ht="13.5" thickBot="1">
      <c r="A46" s="376"/>
      <c r="B46" s="377"/>
      <c r="C46" s="378"/>
      <c r="D46" s="378"/>
      <c r="E46" s="378"/>
      <c r="F46" s="378"/>
      <c r="G46" s="378"/>
      <c r="H46" s="378">
        <v>6059</v>
      </c>
      <c r="I46" s="379">
        <f>SUM(L46:N46)</f>
        <v>19500000</v>
      </c>
      <c r="J46" s="380">
        <v>10900000</v>
      </c>
      <c r="K46" s="380"/>
      <c r="L46" s="381">
        <f t="shared" si="13"/>
        <v>10900000</v>
      </c>
      <c r="M46" s="379">
        <v>8600000</v>
      </c>
      <c r="N46" s="382"/>
      <c r="O46" s="383"/>
      <c r="P46" s="383"/>
      <c r="Q46" s="384">
        <f t="shared" si="19"/>
        <v>19500000</v>
      </c>
    </row>
    <row r="47" spans="1:18" s="50" customFormat="1" ht="12.75" customHeight="1">
      <c r="A47" s="365"/>
      <c r="B47" s="502" t="s">
        <v>202</v>
      </c>
      <c r="C47" s="385"/>
      <c r="D47" s="385"/>
      <c r="E47" s="385"/>
      <c r="F47" s="385"/>
      <c r="G47" s="385"/>
      <c r="H47" s="385">
        <v>6058</v>
      </c>
      <c r="I47" s="386">
        <f>SUM(J47:N47)</f>
        <v>10000000</v>
      </c>
      <c r="J47" s="387"/>
      <c r="K47" s="387"/>
      <c r="L47" s="370">
        <f t="shared" si="13"/>
        <v>0</v>
      </c>
      <c r="M47" s="386">
        <v>5000000</v>
      </c>
      <c r="N47" s="386">
        <v>5000000</v>
      </c>
      <c r="O47" s="385"/>
      <c r="P47" s="388"/>
      <c r="Q47" s="389">
        <f t="shared" si="19"/>
        <v>10000000</v>
      </c>
    </row>
    <row r="48" spans="1:18" s="50" customFormat="1" ht="12.75" customHeight="1" thickBot="1">
      <c r="A48" s="374"/>
      <c r="B48" s="502"/>
      <c r="C48" s="390"/>
      <c r="D48" s="390"/>
      <c r="E48" s="390"/>
      <c r="F48" s="390"/>
      <c r="G48" s="390"/>
      <c r="H48" s="390">
        <v>6059</v>
      </c>
      <c r="I48" s="391">
        <f>SUM(L48:O48)</f>
        <v>10400000</v>
      </c>
      <c r="J48" s="392">
        <v>200000</v>
      </c>
      <c r="K48" s="392"/>
      <c r="L48" s="381">
        <f t="shared" si="13"/>
        <v>200000</v>
      </c>
      <c r="M48" s="391">
        <v>2000000</v>
      </c>
      <c r="N48" s="391">
        <v>4200000</v>
      </c>
      <c r="O48" s="391">
        <v>4000000</v>
      </c>
      <c r="P48" s="393"/>
      <c r="Q48" s="394">
        <f>SUM(L48:O48)</f>
        <v>10400000</v>
      </c>
    </row>
    <row r="49" spans="1:25" s="50" customFormat="1" ht="12" customHeight="1" thickBot="1">
      <c r="A49" s="365"/>
      <c r="B49" s="503" t="s">
        <v>203</v>
      </c>
      <c r="C49" s="367"/>
      <c r="D49" s="367"/>
      <c r="E49" s="367"/>
      <c r="F49" s="367"/>
      <c r="G49" s="367"/>
      <c r="H49" s="367">
        <v>6058</v>
      </c>
      <c r="I49" s="368">
        <f>SUM(J49:O49)</f>
        <v>10000000</v>
      </c>
      <c r="J49" s="369"/>
      <c r="K49" s="369"/>
      <c r="L49" s="370">
        <f t="shared" si="13"/>
        <v>0</v>
      </c>
      <c r="M49" s="368"/>
      <c r="N49" s="368">
        <v>10000000</v>
      </c>
      <c r="O49" s="367"/>
      <c r="P49" s="372"/>
      <c r="Q49" s="373">
        <f t="shared" si="19"/>
        <v>10000000</v>
      </c>
    </row>
    <row r="50" spans="1:25" s="50" customFormat="1" ht="11.25" customHeight="1" thickBot="1">
      <c r="A50" s="376"/>
      <c r="B50" s="503"/>
      <c r="C50" s="378"/>
      <c r="D50" s="378"/>
      <c r="E50" s="378"/>
      <c r="F50" s="378"/>
      <c r="G50" s="378"/>
      <c r="H50" s="378">
        <v>6059</v>
      </c>
      <c r="I50" s="379">
        <f>SUM(J50:O50)</f>
        <v>10000000</v>
      </c>
      <c r="J50" s="380"/>
      <c r="K50" s="380"/>
      <c r="L50" s="381">
        <f t="shared" si="13"/>
        <v>0</v>
      </c>
      <c r="M50" s="379"/>
      <c r="N50" s="379">
        <v>2000000</v>
      </c>
      <c r="O50" s="379">
        <v>8000000</v>
      </c>
      <c r="P50" s="383"/>
      <c r="Q50" s="384">
        <f t="shared" si="19"/>
        <v>10000000</v>
      </c>
    </row>
    <row r="51" spans="1:25" s="93" customFormat="1" ht="33.75" customHeight="1">
      <c r="A51" s="272" t="s">
        <v>125</v>
      </c>
      <c r="B51" s="273" t="s">
        <v>204</v>
      </c>
      <c r="C51" s="278"/>
      <c r="D51" s="278" t="s">
        <v>86</v>
      </c>
      <c r="E51" s="278" t="s">
        <v>86</v>
      </c>
      <c r="F51" s="278"/>
      <c r="G51" s="278"/>
      <c r="H51" s="278"/>
      <c r="I51" s="275">
        <f>I52</f>
        <v>13413030</v>
      </c>
      <c r="J51" s="276">
        <f>J52</f>
        <v>1483200</v>
      </c>
      <c r="K51" s="276">
        <f>K52</f>
        <v>0</v>
      </c>
      <c r="L51" s="276">
        <f>J51+K51</f>
        <v>1483200</v>
      </c>
      <c r="M51" s="275">
        <f>M52</f>
        <v>8852000</v>
      </c>
      <c r="N51" s="275">
        <f>N52</f>
        <v>3000000</v>
      </c>
      <c r="O51" s="395">
        <v>0</v>
      </c>
      <c r="P51" s="395">
        <v>0</v>
      </c>
      <c r="Q51" s="396">
        <f t="shared" si="19"/>
        <v>13335200</v>
      </c>
      <c r="R51" s="50"/>
      <c r="S51" s="50"/>
      <c r="T51" s="50"/>
      <c r="U51" s="50"/>
      <c r="V51" s="50"/>
      <c r="W51" s="50"/>
      <c r="X51" s="50"/>
      <c r="Y51" s="50"/>
    </row>
    <row r="52" spans="1:25" s="96" customFormat="1" ht="15.75">
      <c r="A52" s="397"/>
      <c r="B52" s="398" t="s">
        <v>168</v>
      </c>
      <c r="C52" s="399"/>
      <c r="D52" s="399" t="s">
        <v>86</v>
      </c>
      <c r="E52" s="399" t="s">
        <v>86</v>
      </c>
      <c r="F52" s="399"/>
      <c r="G52" s="399"/>
      <c r="H52" s="399"/>
      <c r="I52" s="305">
        <f>I58+I60+I53</f>
        <v>13413030</v>
      </c>
      <c r="J52" s="283">
        <f t="shared" ref="J52:P52" si="20">J58+J60+J53</f>
        <v>1483200</v>
      </c>
      <c r="K52" s="283"/>
      <c r="L52" s="283">
        <f>J52+K52</f>
        <v>1483200</v>
      </c>
      <c r="M52" s="305">
        <f t="shared" si="20"/>
        <v>8852000</v>
      </c>
      <c r="N52" s="305">
        <f t="shared" si="20"/>
        <v>3000000</v>
      </c>
      <c r="O52" s="305">
        <f t="shared" si="20"/>
        <v>0</v>
      </c>
      <c r="P52" s="305">
        <f t="shared" si="20"/>
        <v>0</v>
      </c>
      <c r="Q52" s="285">
        <f t="shared" si="19"/>
        <v>13335200</v>
      </c>
    </row>
    <row r="53" spans="1:25" s="96" customFormat="1" ht="15.75">
      <c r="A53" s="400" t="s">
        <v>205</v>
      </c>
      <c r="B53" s="355" t="s">
        <v>206</v>
      </c>
      <c r="C53" s="401" t="s">
        <v>175</v>
      </c>
      <c r="D53" s="356">
        <v>2009</v>
      </c>
      <c r="E53" s="356">
        <v>2012</v>
      </c>
      <c r="F53" s="167"/>
      <c r="G53" s="168"/>
      <c r="H53" s="168"/>
      <c r="I53" s="167">
        <f>SUM(I54:I57)</f>
        <v>8771030</v>
      </c>
      <c r="J53" s="342">
        <f>SUM(J54:J57)</f>
        <v>1195200</v>
      </c>
      <c r="K53" s="342"/>
      <c r="L53" s="342">
        <f>J53+K53</f>
        <v>1195200</v>
      </c>
      <c r="M53" s="167">
        <f>SUM(M54:M57)</f>
        <v>7500000</v>
      </c>
      <c r="N53" s="167">
        <f>SUM(N54:N57)</f>
        <v>0</v>
      </c>
      <c r="O53" s="168"/>
      <c r="P53" s="168"/>
      <c r="Q53" s="166">
        <f t="shared" si="19"/>
        <v>8695200</v>
      </c>
    </row>
    <row r="54" spans="1:25" s="96" customFormat="1" ht="38.25">
      <c r="A54" s="302" t="s">
        <v>207</v>
      </c>
      <c r="B54" s="402" t="s">
        <v>208</v>
      </c>
      <c r="C54" s="327" t="s">
        <v>190</v>
      </c>
      <c r="D54" s="327">
        <v>2009</v>
      </c>
      <c r="E54" s="327">
        <v>2012</v>
      </c>
      <c r="F54" s="111">
        <v>600</v>
      </c>
      <c r="G54" s="111" t="s">
        <v>209</v>
      </c>
      <c r="H54" s="111">
        <v>6050</v>
      </c>
      <c r="I54" s="111">
        <v>2771030</v>
      </c>
      <c r="J54" s="331">
        <v>395200</v>
      </c>
      <c r="K54" s="331"/>
      <c r="L54" s="331">
        <f>J54+K54</f>
        <v>395200</v>
      </c>
      <c r="M54" s="111">
        <v>2300000</v>
      </c>
      <c r="N54" s="305"/>
      <c r="O54" s="305"/>
      <c r="P54" s="305"/>
      <c r="Q54" s="285">
        <f t="shared" si="19"/>
        <v>2695200</v>
      </c>
    </row>
    <row r="55" spans="1:25" s="96" customFormat="1" ht="24" customHeight="1">
      <c r="A55" s="403" t="s">
        <v>210</v>
      </c>
      <c r="B55" s="106" t="s">
        <v>211</v>
      </c>
      <c r="C55" s="327" t="s">
        <v>190</v>
      </c>
      <c r="D55" s="327">
        <v>2011</v>
      </c>
      <c r="E55" s="327">
        <v>2012</v>
      </c>
      <c r="F55" s="111">
        <v>600</v>
      </c>
      <c r="G55" s="111" t="s">
        <v>209</v>
      </c>
      <c r="H55" s="111">
        <v>6050</v>
      </c>
      <c r="I55" s="111">
        <f>J55+M55</f>
        <v>2000000</v>
      </c>
      <c r="J55" s="331">
        <v>200000</v>
      </c>
      <c r="K55" s="331"/>
      <c r="L55" s="331">
        <f t="shared" ref="L55:L60" si="21">J55+K55</f>
        <v>200000</v>
      </c>
      <c r="M55" s="111">
        <v>1800000</v>
      </c>
      <c r="N55" s="305"/>
      <c r="O55" s="305"/>
      <c r="P55" s="305"/>
      <c r="Q55" s="285">
        <f t="shared" ref="Q55:Q72" si="22">SUM(L55:O55)</f>
        <v>2000000</v>
      </c>
    </row>
    <row r="56" spans="1:25" s="96" customFormat="1" ht="24" customHeight="1">
      <c r="A56" s="302" t="s">
        <v>212</v>
      </c>
      <c r="B56" s="106" t="s">
        <v>213</v>
      </c>
      <c r="C56" s="327" t="s">
        <v>190</v>
      </c>
      <c r="D56" s="327">
        <v>2011</v>
      </c>
      <c r="E56" s="327">
        <v>2012</v>
      </c>
      <c r="F56" s="111">
        <v>600</v>
      </c>
      <c r="G56" s="111" t="s">
        <v>209</v>
      </c>
      <c r="H56" s="111">
        <v>6050</v>
      </c>
      <c r="I56" s="111">
        <f>J56+M56</f>
        <v>2000000</v>
      </c>
      <c r="J56" s="331">
        <v>400000</v>
      </c>
      <c r="K56" s="331"/>
      <c r="L56" s="331">
        <f t="shared" si="21"/>
        <v>400000</v>
      </c>
      <c r="M56" s="111">
        <v>1600000</v>
      </c>
      <c r="N56" s="111"/>
      <c r="O56" s="111"/>
      <c r="P56" s="111"/>
      <c r="Q56" s="285">
        <f t="shared" si="22"/>
        <v>2000000</v>
      </c>
    </row>
    <row r="57" spans="1:25" s="96" customFormat="1">
      <c r="A57" s="403" t="s">
        <v>214</v>
      </c>
      <c r="B57" s="402" t="s">
        <v>215</v>
      </c>
      <c r="C57" s="327" t="s">
        <v>190</v>
      </c>
      <c r="D57" s="327">
        <v>2011</v>
      </c>
      <c r="E57" s="327">
        <v>2012</v>
      </c>
      <c r="F57" s="111">
        <v>600</v>
      </c>
      <c r="G57" s="111" t="s">
        <v>209</v>
      </c>
      <c r="H57" s="111">
        <v>6050</v>
      </c>
      <c r="I57" s="111">
        <f>J57+M57</f>
        <v>2000000</v>
      </c>
      <c r="J57" s="331">
        <v>200000</v>
      </c>
      <c r="K57" s="331"/>
      <c r="L57" s="331">
        <f t="shared" si="21"/>
        <v>200000</v>
      </c>
      <c r="M57" s="111">
        <v>1800000</v>
      </c>
      <c r="N57" s="111"/>
      <c r="O57" s="111"/>
      <c r="P57" s="111"/>
      <c r="Q57" s="285">
        <f t="shared" si="22"/>
        <v>2000000</v>
      </c>
    </row>
    <row r="58" spans="1:25" s="97" customFormat="1" ht="15.75">
      <c r="A58" s="404" t="s">
        <v>216</v>
      </c>
      <c r="B58" s="405" t="s">
        <v>186</v>
      </c>
      <c r="C58" s="356" t="s">
        <v>175</v>
      </c>
      <c r="D58" s="356">
        <v>2011</v>
      </c>
      <c r="E58" s="356">
        <v>2013</v>
      </c>
      <c r="F58" s="356"/>
      <c r="G58" s="356"/>
      <c r="H58" s="356"/>
      <c r="I58" s="167">
        <f>I59</f>
        <v>2543000</v>
      </c>
      <c r="J58" s="342">
        <f>SUM(J59:J59)</f>
        <v>98000</v>
      </c>
      <c r="K58" s="342"/>
      <c r="L58" s="331">
        <f t="shared" si="21"/>
        <v>98000</v>
      </c>
      <c r="M58" s="168">
        <f>SUM(M59:M59)</f>
        <v>445000</v>
      </c>
      <c r="N58" s="168">
        <f>SUM(N59:N59)</f>
        <v>2000000</v>
      </c>
      <c r="O58" s="168">
        <f>SUM(O59:O59)</f>
        <v>0</v>
      </c>
      <c r="P58" s="168">
        <f>SUM(P59:P59)</f>
        <v>0</v>
      </c>
      <c r="Q58" s="285">
        <f t="shared" si="22"/>
        <v>2543000</v>
      </c>
    </row>
    <row r="59" spans="1:25" s="50" customFormat="1" ht="46.5" customHeight="1">
      <c r="A59" s="302" t="s">
        <v>217</v>
      </c>
      <c r="B59" s="406" t="s">
        <v>218</v>
      </c>
      <c r="C59" s="327" t="s">
        <v>190</v>
      </c>
      <c r="D59" s="327">
        <v>2011</v>
      </c>
      <c r="E59" s="327">
        <v>2013</v>
      </c>
      <c r="F59" s="327">
        <v>700</v>
      </c>
      <c r="G59" s="327">
        <v>70005</v>
      </c>
      <c r="H59" s="327">
        <v>6050</v>
      </c>
      <c r="I59" s="111">
        <v>2543000</v>
      </c>
      <c r="J59" s="331">
        <v>98000</v>
      </c>
      <c r="K59" s="331"/>
      <c r="L59" s="331">
        <f t="shared" si="21"/>
        <v>98000</v>
      </c>
      <c r="M59" s="111">
        <v>445000</v>
      </c>
      <c r="N59" s="305">
        <v>2000000</v>
      </c>
      <c r="O59" s="304">
        <v>0</v>
      </c>
      <c r="P59" s="304">
        <v>0</v>
      </c>
      <c r="Q59" s="285">
        <f>SUM(L59:O59)</f>
        <v>2543000</v>
      </c>
    </row>
    <row r="60" spans="1:25" s="97" customFormat="1" ht="15.75">
      <c r="A60" s="400" t="s">
        <v>219</v>
      </c>
      <c r="B60" s="407" t="s">
        <v>198</v>
      </c>
      <c r="C60" s="356" t="s">
        <v>175</v>
      </c>
      <c r="D60" s="356">
        <v>2010</v>
      </c>
      <c r="E60" s="356">
        <v>2013</v>
      </c>
      <c r="F60" s="356"/>
      <c r="G60" s="356"/>
      <c r="H60" s="356"/>
      <c r="I60" s="167">
        <f>I61</f>
        <v>2099000</v>
      </c>
      <c r="J60" s="342">
        <f t="shared" ref="J60:P60" si="23">J61</f>
        <v>190000</v>
      </c>
      <c r="K60" s="342"/>
      <c r="L60" s="331">
        <f t="shared" si="21"/>
        <v>190000</v>
      </c>
      <c r="M60" s="167">
        <f t="shared" si="23"/>
        <v>907000</v>
      </c>
      <c r="N60" s="167">
        <f t="shared" si="23"/>
        <v>1000000</v>
      </c>
      <c r="O60" s="167">
        <f t="shared" si="23"/>
        <v>0</v>
      </c>
      <c r="P60" s="167">
        <f t="shared" si="23"/>
        <v>0</v>
      </c>
      <c r="Q60" s="285">
        <f>SUM(L60:O60)</f>
        <v>2097000</v>
      </c>
    </row>
    <row r="61" spans="1:25" s="50" customFormat="1">
      <c r="A61" s="302" t="s">
        <v>220</v>
      </c>
      <c r="B61" s="406" t="s">
        <v>221</v>
      </c>
      <c r="C61" s="303" t="s">
        <v>179</v>
      </c>
      <c r="D61" s="327">
        <v>2010</v>
      </c>
      <c r="E61" s="327">
        <v>2013</v>
      </c>
      <c r="F61" s="327">
        <v>801</v>
      </c>
      <c r="G61" s="327">
        <v>80104</v>
      </c>
      <c r="H61" s="327">
        <v>6050</v>
      </c>
      <c r="I61" s="111">
        <v>2099000</v>
      </c>
      <c r="J61" s="331">
        <v>190000</v>
      </c>
      <c r="K61" s="331"/>
      <c r="L61" s="331">
        <f>J61+K61</f>
        <v>190000</v>
      </c>
      <c r="M61" s="111">
        <v>907000</v>
      </c>
      <c r="N61" s="305">
        <v>1000000</v>
      </c>
      <c r="O61" s="304">
        <v>0</v>
      </c>
      <c r="P61" s="304">
        <v>0</v>
      </c>
      <c r="Q61" s="285">
        <f t="shared" si="22"/>
        <v>2097000</v>
      </c>
    </row>
    <row r="62" spans="1:25" ht="77.25" customHeight="1">
      <c r="A62" s="286" t="s">
        <v>222</v>
      </c>
      <c r="B62" s="408" t="s">
        <v>223</v>
      </c>
      <c r="C62" s="409"/>
      <c r="D62" s="288" t="s">
        <v>86</v>
      </c>
      <c r="E62" s="409" t="s">
        <v>86</v>
      </c>
      <c r="F62" s="409"/>
      <c r="G62" s="409"/>
      <c r="H62" s="409"/>
      <c r="I62" s="289">
        <f>I63</f>
        <v>2255434</v>
      </c>
      <c r="J62" s="290">
        <f>J63</f>
        <v>687917</v>
      </c>
      <c r="K62" s="290"/>
      <c r="L62" s="290">
        <f>J62+K62</f>
        <v>687917</v>
      </c>
      <c r="M62" s="289">
        <f>M63</f>
        <v>687917</v>
      </c>
      <c r="N62" s="289">
        <f>N63</f>
        <v>550200</v>
      </c>
      <c r="O62" s="410">
        <f>O63</f>
        <v>329400</v>
      </c>
      <c r="P62" s="410">
        <v>0</v>
      </c>
      <c r="Q62" s="411">
        <f t="shared" si="22"/>
        <v>2255434</v>
      </c>
    </row>
    <row r="63" spans="1:25" s="87" customFormat="1">
      <c r="A63" s="280"/>
      <c r="B63" s="412" t="s">
        <v>167</v>
      </c>
      <c r="C63" s="304"/>
      <c r="D63" s="108" t="s">
        <v>86</v>
      </c>
      <c r="E63" s="413" t="s">
        <v>86</v>
      </c>
      <c r="F63" s="413"/>
      <c r="G63" s="413"/>
      <c r="H63" s="413"/>
      <c r="I63" s="282">
        <f>SUM(I64:I72)</f>
        <v>2255434</v>
      </c>
      <c r="J63" s="283">
        <f>SUM(J64:J72)</f>
        <v>687917</v>
      </c>
      <c r="K63" s="283"/>
      <c r="L63" s="283">
        <f>J63+K63</f>
        <v>687917</v>
      </c>
      <c r="M63" s="282">
        <f>SUM(M64:M72)</f>
        <v>687917</v>
      </c>
      <c r="N63" s="282">
        <f>SUM(N65:N72)</f>
        <v>550200</v>
      </c>
      <c r="O63" s="282">
        <f>SUM(O65:O72)</f>
        <v>329400</v>
      </c>
      <c r="P63" s="102">
        <v>0</v>
      </c>
      <c r="Q63" s="285">
        <f t="shared" si="22"/>
        <v>2255434</v>
      </c>
    </row>
    <row r="64" spans="1:25" ht="25.5">
      <c r="A64" s="245" t="s">
        <v>171</v>
      </c>
      <c r="B64" s="414" t="s">
        <v>224</v>
      </c>
      <c r="C64" s="327" t="s">
        <v>190</v>
      </c>
      <c r="D64" s="108">
        <v>2011</v>
      </c>
      <c r="E64" s="108">
        <v>2012</v>
      </c>
      <c r="F64" s="108">
        <v>700</v>
      </c>
      <c r="G64" s="108">
        <v>70005</v>
      </c>
      <c r="H64" s="108">
        <v>4400</v>
      </c>
      <c r="I64" s="102">
        <f>J64+M64</f>
        <v>44344</v>
      </c>
      <c r="J64" s="331">
        <v>22172</v>
      </c>
      <c r="K64" s="331"/>
      <c r="L64" s="283">
        <f t="shared" ref="L64:L72" si="24">J64+K64</f>
        <v>22172</v>
      </c>
      <c r="M64" s="102">
        <v>22172</v>
      </c>
      <c r="N64" s="102">
        <v>0</v>
      </c>
      <c r="O64" s="102">
        <v>0</v>
      </c>
      <c r="P64" s="102">
        <v>0</v>
      </c>
      <c r="Q64" s="285">
        <f t="shared" si="22"/>
        <v>44344</v>
      </c>
    </row>
    <row r="65" spans="1:17" ht="25.5">
      <c r="A65" s="245" t="s">
        <v>125</v>
      </c>
      <c r="B65" s="414" t="s">
        <v>225</v>
      </c>
      <c r="C65" s="327" t="s">
        <v>190</v>
      </c>
      <c r="D65" s="108">
        <v>2011</v>
      </c>
      <c r="E65" s="108">
        <v>2012</v>
      </c>
      <c r="F65" s="108">
        <v>700</v>
      </c>
      <c r="G65" s="108">
        <v>70005</v>
      </c>
      <c r="H65" s="108">
        <v>4300</v>
      </c>
      <c r="I65" s="102">
        <f>J65+M65</f>
        <v>28306</v>
      </c>
      <c r="J65" s="331">
        <v>14153</v>
      </c>
      <c r="K65" s="331"/>
      <c r="L65" s="283">
        <f t="shared" si="24"/>
        <v>14153</v>
      </c>
      <c r="M65" s="102">
        <v>14153</v>
      </c>
      <c r="N65" s="102">
        <v>0</v>
      </c>
      <c r="O65" s="102">
        <v>0</v>
      </c>
      <c r="P65" s="102">
        <v>0</v>
      </c>
      <c r="Q65" s="285">
        <f t="shared" si="22"/>
        <v>28306</v>
      </c>
    </row>
    <row r="66" spans="1:17" ht="38.25">
      <c r="A66" s="245" t="s">
        <v>127</v>
      </c>
      <c r="B66" s="414" t="s">
        <v>226</v>
      </c>
      <c r="C66" s="415" t="s">
        <v>179</v>
      </c>
      <c r="D66" s="108">
        <v>2011</v>
      </c>
      <c r="E66" s="108">
        <v>2012</v>
      </c>
      <c r="F66" s="108">
        <v>600</v>
      </c>
      <c r="G66" s="108">
        <v>60016</v>
      </c>
      <c r="H66" s="108">
        <v>4300</v>
      </c>
      <c r="I66" s="102">
        <f>J66+M66</f>
        <v>40626</v>
      </c>
      <c r="J66" s="331">
        <v>20313</v>
      </c>
      <c r="K66" s="331"/>
      <c r="L66" s="283">
        <f t="shared" si="24"/>
        <v>20313</v>
      </c>
      <c r="M66" s="102">
        <v>20313</v>
      </c>
      <c r="N66" s="102">
        <v>0</v>
      </c>
      <c r="O66" s="102">
        <v>0</v>
      </c>
      <c r="P66" s="102">
        <v>0</v>
      </c>
      <c r="Q66" s="285">
        <f t="shared" si="22"/>
        <v>40626</v>
      </c>
    </row>
    <row r="67" spans="1:17">
      <c r="A67" s="245" t="s">
        <v>129</v>
      </c>
      <c r="B67" s="414" t="s">
        <v>227</v>
      </c>
      <c r="C67" s="327" t="s">
        <v>228</v>
      </c>
      <c r="D67" s="108">
        <v>2011</v>
      </c>
      <c r="E67" s="108">
        <v>2013</v>
      </c>
      <c r="F67" s="108">
        <v>750</v>
      </c>
      <c r="G67" s="108">
        <v>75023</v>
      </c>
      <c r="H67" s="108">
        <v>4300</v>
      </c>
      <c r="I67" s="102">
        <f>J67+M67+N67</f>
        <v>549000</v>
      </c>
      <c r="J67" s="331">
        <v>183000</v>
      </c>
      <c r="K67" s="331"/>
      <c r="L67" s="283">
        <f t="shared" si="24"/>
        <v>183000</v>
      </c>
      <c r="M67" s="102">
        <v>183000</v>
      </c>
      <c r="N67" s="102">
        <v>183000</v>
      </c>
      <c r="O67" s="102">
        <v>0</v>
      </c>
      <c r="P67" s="102">
        <v>0</v>
      </c>
      <c r="Q67" s="285">
        <f t="shared" si="22"/>
        <v>549000</v>
      </c>
    </row>
    <row r="68" spans="1:17">
      <c r="A68" s="245" t="s">
        <v>131</v>
      </c>
      <c r="B68" s="414" t="s">
        <v>229</v>
      </c>
      <c r="C68" s="327" t="s">
        <v>228</v>
      </c>
      <c r="D68" s="108">
        <v>2011</v>
      </c>
      <c r="E68" s="108">
        <v>2012</v>
      </c>
      <c r="F68" s="108">
        <v>750</v>
      </c>
      <c r="G68" s="108">
        <v>75023</v>
      </c>
      <c r="H68" s="108">
        <v>4300</v>
      </c>
      <c r="I68" s="102">
        <f>J68+M68</f>
        <v>8198</v>
      </c>
      <c r="J68" s="331">
        <v>4099</v>
      </c>
      <c r="K68" s="331"/>
      <c r="L68" s="283">
        <f t="shared" si="24"/>
        <v>4099</v>
      </c>
      <c r="M68" s="108">
        <v>4099</v>
      </c>
      <c r="N68" s="108">
        <v>0</v>
      </c>
      <c r="O68" s="102">
        <v>0</v>
      </c>
      <c r="P68" s="102">
        <v>0</v>
      </c>
      <c r="Q68" s="285">
        <f t="shared" si="22"/>
        <v>8198</v>
      </c>
    </row>
    <row r="69" spans="1:17" ht="37.5" customHeight="1">
      <c r="A69" s="245" t="s">
        <v>133</v>
      </c>
      <c r="B69" s="414" t="s">
        <v>230</v>
      </c>
      <c r="C69" s="327" t="s">
        <v>228</v>
      </c>
      <c r="D69" s="108">
        <v>2011</v>
      </c>
      <c r="E69" s="108">
        <v>2012</v>
      </c>
      <c r="F69" s="108">
        <v>750</v>
      </c>
      <c r="G69" s="108">
        <v>75023</v>
      </c>
      <c r="H69" s="108">
        <v>4300</v>
      </c>
      <c r="I69" s="102">
        <f>J69+M69</f>
        <v>6360</v>
      </c>
      <c r="J69" s="331">
        <v>3180</v>
      </c>
      <c r="K69" s="331"/>
      <c r="L69" s="283">
        <f t="shared" si="24"/>
        <v>3180</v>
      </c>
      <c r="M69" s="108">
        <v>3180</v>
      </c>
      <c r="N69" s="108">
        <v>0</v>
      </c>
      <c r="O69" s="102">
        <v>0</v>
      </c>
      <c r="P69" s="102">
        <v>0</v>
      </c>
      <c r="Q69" s="285">
        <f t="shared" si="22"/>
        <v>6360</v>
      </c>
    </row>
    <row r="70" spans="1:17" ht="38.25">
      <c r="A70" s="245" t="s">
        <v>135</v>
      </c>
      <c r="B70" s="414" t="s">
        <v>231</v>
      </c>
      <c r="C70" s="327" t="s">
        <v>232</v>
      </c>
      <c r="D70" s="108">
        <v>2011</v>
      </c>
      <c r="E70" s="108">
        <v>2013</v>
      </c>
      <c r="F70" s="108">
        <v>700</v>
      </c>
      <c r="G70" s="108">
        <v>70005</v>
      </c>
      <c r="H70" s="108">
        <v>4400</v>
      </c>
      <c r="I70" s="102">
        <f>J70+M70+N70</f>
        <v>252000</v>
      </c>
      <c r="J70" s="331">
        <v>108000</v>
      </c>
      <c r="K70" s="331"/>
      <c r="L70" s="283">
        <f t="shared" si="24"/>
        <v>108000</v>
      </c>
      <c r="M70" s="102">
        <v>108000</v>
      </c>
      <c r="N70" s="102">
        <v>36000</v>
      </c>
      <c r="O70" s="102">
        <v>0</v>
      </c>
      <c r="P70" s="102">
        <v>0</v>
      </c>
      <c r="Q70" s="285">
        <f t="shared" si="22"/>
        <v>252000</v>
      </c>
    </row>
    <row r="71" spans="1:17" ht="25.5">
      <c r="A71" s="245" t="s">
        <v>137</v>
      </c>
      <c r="B71" s="414" t="s">
        <v>233</v>
      </c>
      <c r="C71" s="327" t="s">
        <v>232</v>
      </c>
      <c r="D71" s="108">
        <v>2011</v>
      </c>
      <c r="E71" s="108">
        <v>2013</v>
      </c>
      <c r="F71" s="108">
        <v>700</v>
      </c>
      <c r="G71" s="108">
        <v>70005</v>
      </c>
      <c r="H71" s="108">
        <v>4400</v>
      </c>
      <c r="I71" s="102">
        <f>J71+M71+N71</f>
        <v>9000</v>
      </c>
      <c r="J71" s="331">
        <v>3600</v>
      </c>
      <c r="K71" s="331"/>
      <c r="L71" s="283">
        <f t="shared" si="24"/>
        <v>3600</v>
      </c>
      <c r="M71" s="102">
        <v>3600</v>
      </c>
      <c r="N71" s="108">
        <v>1800</v>
      </c>
      <c r="O71" s="102">
        <v>0</v>
      </c>
      <c r="P71" s="102">
        <v>0</v>
      </c>
      <c r="Q71" s="285">
        <f t="shared" si="22"/>
        <v>9000</v>
      </c>
    </row>
    <row r="72" spans="1:17" ht="51">
      <c r="A72" s="245" t="s">
        <v>139</v>
      </c>
      <c r="B72" s="414" t="s">
        <v>234</v>
      </c>
      <c r="C72" s="327" t="s">
        <v>232</v>
      </c>
      <c r="D72" s="108">
        <v>2011</v>
      </c>
      <c r="E72" s="108">
        <v>2014</v>
      </c>
      <c r="F72" s="108">
        <v>801</v>
      </c>
      <c r="G72" s="108">
        <v>80101</v>
      </c>
      <c r="H72" s="108">
        <v>4400</v>
      </c>
      <c r="I72" s="102">
        <f>J72+M72+N72+O72</f>
        <v>1317600</v>
      </c>
      <c r="J72" s="331">
        <v>329400</v>
      </c>
      <c r="K72" s="331"/>
      <c r="L72" s="283">
        <f t="shared" si="24"/>
        <v>329400</v>
      </c>
      <c r="M72" s="102">
        <v>329400</v>
      </c>
      <c r="N72" s="102">
        <v>329400</v>
      </c>
      <c r="O72" s="102">
        <v>329400</v>
      </c>
      <c r="P72" s="102">
        <v>0</v>
      </c>
      <c r="Q72" s="285">
        <f t="shared" si="22"/>
        <v>1317600</v>
      </c>
    </row>
    <row r="73" spans="1:17">
      <c r="A73" s="139"/>
      <c r="B73" s="139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9"/>
    </row>
    <row r="74" spans="1:17" ht="15">
      <c r="A74" s="86"/>
      <c r="B74" s="98"/>
      <c r="C74" s="99"/>
    </row>
    <row r="75" spans="1:17" ht="15">
      <c r="A75" s="86"/>
      <c r="B75" s="100"/>
      <c r="C75" s="99"/>
    </row>
    <row r="76" spans="1:17" ht="15">
      <c r="A76" s="101"/>
      <c r="B76" s="100"/>
      <c r="C76" s="99"/>
    </row>
    <row r="77" spans="1:17">
      <c r="A77" s="86"/>
      <c r="B77" s="86"/>
      <c r="C77" s="99"/>
    </row>
  </sheetData>
  <mergeCells count="27">
    <mergeCell ref="F28:H28"/>
    <mergeCell ref="B24:B25"/>
    <mergeCell ref="F24:H24"/>
    <mergeCell ref="B47:B48"/>
    <mergeCell ref="B49:B50"/>
    <mergeCell ref="F29:H29"/>
    <mergeCell ref="F32:H32"/>
    <mergeCell ref="B35:B37"/>
    <mergeCell ref="F35:H35"/>
    <mergeCell ref="F39:H39"/>
    <mergeCell ref="F43:H43"/>
    <mergeCell ref="A6:Q7"/>
    <mergeCell ref="J8:P8"/>
    <mergeCell ref="F18:H18"/>
    <mergeCell ref="B19:B20"/>
    <mergeCell ref="F19:H19"/>
    <mergeCell ref="M9:M10"/>
    <mergeCell ref="N9:N10"/>
    <mergeCell ref="O9:O10"/>
    <mergeCell ref="Q8:Q10"/>
    <mergeCell ref="J9:L9"/>
    <mergeCell ref="D8:E9"/>
    <mergeCell ref="F8:H9"/>
    <mergeCell ref="C8:C10"/>
    <mergeCell ref="A8:A10"/>
    <mergeCell ref="B8:B10"/>
    <mergeCell ref="I8:I10"/>
  </mergeCells>
  <printOptions horizontalCentered="1"/>
  <pageMargins left="0.39374999999999999" right="0.19652777777777777" top="0.27569444444444446" bottom="0.51180555555555551" header="0.51180555555555551" footer="0.51180555555555551"/>
  <pageSetup paperSize="9" scale="67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Arkusz4</vt:lpstr>
      <vt:lpstr>Arkusz5</vt:lpstr>
      <vt:lpstr>WPF</vt:lpstr>
      <vt:lpstr>Prognoza długu</vt:lpstr>
      <vt:lpstr>Wykaz przedsięwzięć</vt:lpstr>
      <vt:lpstr>Arkusz1</vt:lpstr>
      <vt:lpstr>Arkusz2</vt:lpstr>
      <vt:lpstr>'Prognoza długu'!Obszar_wydruku</vt:lpstr>
      <vt:lpstr>'Wykaz przedsięwzięć'!Tytuły_wydruku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UG</cp:lastModifiedBy>
  <cp:lastPrinted>2011-02-25T12:31:04Z</cp:lastPrinted>
  <dcterms:created xsi:type="dcterms:W3CDTF">2011-02-22T14:35:52Z</dcterms:created>
  <dcterms:modified xsi:type="dcterms:W3CDTF">2011-02-25T12:32:00Z</dcterms:modified>
</cp:coreProperties>
</file>