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5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długu'!$I$16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<sst xmlns="http://schemas.openxmlformats.org/spreadsheetml/2006/main" count="657" uniqueCount="302">
  <si>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</si>
  <si>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</si>
  <si>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</si>
  <si>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</si>
  <si>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</si>
  <si>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</si>
  <si>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</si>
  <si>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</si>
  <si>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</si>
  <si>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</si>
  <si>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</si>
  <si>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</si>
  <si>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</si>
  <si>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</si>
  <si>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</si>
  <si>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</si>
  <si>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</si>
  <si>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</si>
  <si>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</si>
  <si>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</si>
  <si>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</si>
  <si>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</si>
  <si>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</si>
  <si>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</si>
  <si>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</si>
  <si>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</si>
  <si>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</si>
  <si>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</si>
  <si>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</si>
  <si>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</si>
  <si>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</si>
  <si>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</si>
  <si>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</si>
  <si>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</si>
  <si>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</si>
  <si>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</si>
  <si>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</si>
  <si>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</si>
  <si>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</si>
  <si>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</si>
  <si>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</si>
  <si>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</si>
  <si>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</si>
  <si>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</si>
  <si>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</si>
  <si>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</si>
  <si>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</si>
  <si>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</si>
  <si>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</si>
  <si>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</si>
  <si>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</si>
  <si>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</si>
  <si>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</si>
  <si>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</si>
  <si>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</si>
  <si>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</si>
  <si>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</si>
  <si>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</si>
  <si>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</si>
  <si>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</si>
  <si>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</si>
  <si>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</si>
  <si>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</si>
  <si>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</si>
  <si>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</si>
  <si>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</si>
  <si>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</si>
  <si>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</si>
  <si>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</si>
  <si>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</si>
  <si>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</si>
  <si>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</si>
  <si>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</si>
  <si>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</si>
  <si>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</si>
  <si>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</si>
  <si>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</si>
  <si>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</si>
  <si>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</si>
  <si>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</si>
  <si>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</si>
  <si>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</si>
  <si>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</si>
  <si>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</si>
  <si>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</si>
  <si>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</si>
  <si>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</si>
  <si>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</si>
  <si>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</si>
  <si>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</si>
  <si>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</si>
  <si>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</si>
  <si>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</si>
  <si>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</si>
  <si>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</si>
  <si>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</si>
  <si>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</si>
  <si>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</si>
  <si>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</si>
  <si>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</si>
  <si>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</si>
  <si>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</si>
  <si>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</si>
  <si>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</si>
  <si>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</si>
  <si>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</si>
  <si>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</si>
  <si>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</si>
  <si>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</si>
  <si>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</si>
  <si>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</si>
  <si>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</si>
  <si>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</si>
  <si>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</si>
  <si>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</si>
  <si>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</si>
  <si>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</si>
  <si>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</si>
  <si>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</si>
  <si>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</si>
  <si>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</si>
  <si>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</si>
  <si>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</si>
  <si>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</si>
  <si>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</si>
  <si>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</si>
  <si>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</si>
  <si>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</si>
  <si>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</si>
  <si>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</si>
  <si>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</si>
  <si>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</si>
  <si>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</si>
  <si>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</si>
  <si>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</si>
  <si>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</si>
  <si>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</si>
  <si>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</si>
  <si>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</si>
  <si>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</si>
  <si>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</si>
  <si>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</si>
  <si>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</si>
  <si>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</si>
  <si>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</si>
  <si>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</si>
  <si>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</si>
  <si>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</si>
  <si>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</si>
  <si>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</si>
  <si>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</si>
  <si>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</si>
  <si>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</si>
  <si>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</si>
  <si>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</si>
  <si>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</si>
  <si>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</si>
  <si>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</si>
  <si>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</si>
  <si>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</si>
  <si>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</si>
  <si>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</si>
  <si>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</si>
  <si>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</si>
  <si>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</si>
  <si>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</si>
  <si>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</si>
  <si>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</si>
  <si>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</si>
  <si>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</si>
  <si>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</si>
  <si>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</si>
  <si>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</si>
  <si>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</si>
  <si>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</si>
  <si>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</si>
  <si>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</si>
  <si>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</si>
  <si>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</si>
  <si>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</si>
  <si>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</si>
  <si>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</si>
  <si>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</si>
  <si>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</si>
  <si>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</si>
  <si>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</si>
  <si>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</si>
  <si>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</si>
  <si>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</si>
  <si>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</si>
  <si>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</si>
  <si>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</si>
  <si>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</si>
  <si>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</si>
  <si>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</si>
  <si>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</si>
  <si>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</si>
  <si>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</si>
  <si>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</si>
  <si>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</si>
  <si>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</si>
  <si>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</si>
  <si>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</si>
  <si>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</si>
  <si>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</si>
  <si>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</si>
  <si>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</si>
  <si>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</si>
  <si>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</si>
  <si>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</si>
  <si>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</si>
  <si>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</si>
  <si>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>Plan przed zmianami</t>
  </si>
  <si>
    <t>Zmiany Uchwałą Rady Gminy</t>
  </si>
  <si>
    <t>Plan po zmianach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</si>
  <si>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</si>
  <si>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</si>
  <si>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</si>
  <si>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</si>
  <si>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</si>
  <si>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</si>
  <si>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</si>
  <si>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</si>
  <si>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</si>
  <si>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</si>
  <si>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</si>
  <si>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</si>
  <si>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</si>
  <si>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</si>
  <si>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WYKAZ PRZEDSIĘWZIĘĆ GMINY LESZNOWOLA  NA LATA 2011 -2015 - po zmianach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</si>
  <si>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</si>
  <si>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</si>
  <si>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</si>
  <si>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</si>
  <si>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</si>
  <si>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</si>
  <si>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</si>
  <si>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</si>
  <si>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</si>
  <si>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</si>
  <si>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</si>
  <si>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</si>
  <si>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</si>
  <si>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</si>
  <si>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</si>
  <si>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Mysiadło - Projekt oświetlenia ulic: Aronii, Porzeczkowej i Agrestowej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</si>
  <si>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</si>
  <si>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</si>
  <si>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</si>
  <si>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</si>
  <si>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</si>
  <si>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</si>
  <si>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</si>
  <si>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</si>
  <si>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</si>
  <si>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</si>
  <si>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</si>
  <si>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Mysiadło- Proj budowy zbiornika retencyjnego (sztuczny zbiornik wód opadowych)</t>
  </si>
  <si>
    <t>1) 2016r - 246.000,-zł</t>
  </si>
  <si>
    <t>1.2.8</t>
  </si>
  <si>
    <t>1.2.9</t>
  </si>
  <si>
    <t>Mysiadło - Projekt budowy oświetlenia ulicy nr ewid. dz. 20/17, 31/6 i 22                             (pkt świetlne)</t>
  </si>
  <si>
    <t>Łazy II - Projekt budowy oświetlenia na drodze gminnej dz. nr. 44/72 i 46 (przy ul. Przyszłości-pkt świetlne)</t>
  </si>
  <si>
    <t>2.1.6</t>
  </si>
  <si>
    <t>Lesznowola - Projekt i budowa  ul. Okrężnej oraz projekty branżowe wraz z wytyczeniem geodezyjnym</t>
  </si>
  <si>
    <t xml:space="preserve">Do Uchwały Nr </t>
  </si>
  <si>
    <t xml:space="preserve">z dnia </t>
  </si>
  <si>
    <t xml:space="preserve">Do Uchwały Nr  </t>
  </si>
  <si>
    <t xml:space="preserve">z dnia  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</si>
  <si>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</si>
  <si>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</si>
  <si>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</si>
  <si>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</si>
  <si>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</si>
  <si>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</si>
  <si>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</si>
  <si>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 xml:space="preserve">Lesznowola-Projekt i budowa odwodnienia parkingu przy Zespole Szkół Publicznych </t>
  </si>
  <si>
    <t>Lesznowola - Projekt  przebudowy  ul. GRN  wraz z aktualizacją geodezyjną</t>
  </si>
  <si>
    <t>Lesznowola - Projekt i  budowa  ul. Sportowej wraz z wytyczeniem geodezyjnym przebiegu drogi</t>
  </si>
  <si>
    <t>Stachowo, Wólka Kosowska, PAN Kosów  - Projekt ul. Karasia z odwodnieniem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</si>
  <si>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</si>
  <si>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</si>
  <si>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</si>
  <si>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</si>
  <si>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</si>
  <si>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</si>
  <si>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</si>
  <si>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</si>
  <si>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r>
      <t xml:space="preserve">Dzierżawa nieruchomości o nr. ew. 36/16   położonej w Nowej Iwicznej  </t>
    </r>
    <r>
      <rPr>
        <vertAlign val="superscript"/>
        <sz val="10"/>
        <rFont val="Cambria"/>
        <family val="1"/>
      </rPr>
      <t>1)</t>
    </r>
  </si>
  <si>
    <t xml:space="preserve"> Nowa Iwiczna i Stara Iwiczna - Projekt kanalizacji deszczowej ul. Kielecka</t>
  </si>
  <si>
    <t>1.1.7</t>
  </si>
  <si>
    <t>Programy, projekty lub zadania        ( razem)</t>
  </si>
  <si>
    <t>Kolonia Lesznowola - Projekt i budowa ul. Krótkiej</t>
  </si>
  <si>
    <t>Wilcza Góra-Projekt  budowy ul. Jasnej z odwodnieniem</t>
  </si>
  <si>
    <t>Odławianie zwierząt</t>
  </si>
  <si>
    <t>Magdaleka -Projekt i budowa ciągu pieszo-rowerowego - III etap</t>
  </si>
  <si>
    <t>Lesznowola - Projekt rozbudowy ul. Okrężnej na odcinku od ul. Słonecznej do dz. nr. 278 w zakresie budowy ciągu pieszo-jezdnego</t>
  </si>
  <si>
    <t>Odśnieżanie dróg gminnych</t>
  </si>
  <si>
    <t xml:space="preserve">Nowa Wola - Moderniz, remont  ul. Plonowej I etap </t>
  </si>
  <si>
    <t>Nowa Iwiczna - Projekt kanalizacji deszczowej ul. Wiosenna, Spacerowa i Graniczna</t>
  </si>
  <si>
    <t>1.1.8</t>
  </si>
  <si>
    <t>Warszawianka - Budowa ciągu pieszo-jezdnego od ul. Rejonowej (vis a vis ul. Brzozowej) - ul. Sielankowa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</si>
</sst>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b/>
      <sz val="6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3" fontId="33" fillId="0" borderId="19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0" fontId="38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24" borderId="0" xfId="0" applyFont="1" applyFill="1" applyBorder="1" applyAlignment="1">
      <alignment vertical="top" wrapText="1"/>
    </xf>
    <xf numFmtId="0" fontId="33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1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/>
    </xf>
    <xf numFmtId="0" fontId="41" fillId="4" borderId="20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/>
    </xf>
    <xf numFmtId="0" fontId="33" fillId="0" borderId="2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33" fillId="24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3" fontId="33" fillId="0" borderId="0" xfId="0" applyNumberFormat="1" applyFont="1" applyAlignment="1">
      <alignment wrapText="1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22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38" fillId="0" borderId="21" xfId="0" applyNumberFormat="1" applyFont="1" applyFill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21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textRotation="90"/>
    </xf>
    <xf numFmtId="0" fontId="38" fillId="0" borderId="13" xfId="0" applyFont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30" xfId="0" applyNumberFormat="1" applyFont="1" applyBorder="1" applyAlignment="1">
      <alignment horizontal="center" vertical="center"/>
    </xf>
    <xf numFmtId="3" fontId="35" fillId="0" borderId="31" xfId="0" applyNumberFormat="1" applyFont="1" applyBorder="1" applyAlignment="1">
      <alignment horizontal="center" vertical="center"/>
    </xf>
    <xf numFmtId="0" fontId="35" fillId="22" borderId="26" xfId="0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 wrapText="1"/>
    </xf>
    <xf numFmtId="3" fontId="35" fillId="22" borderId="21" xfId="0" applyNumberFormat="1" applyFont="1" applyFill="1" applyBorder="1" applyAlignment="1">
      <alignment horizontal="center" vertical="center"/>
    </xf>
    <xf numFmtId="3" fontId="35" fillId="22" borderId="19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9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165" fontId="35" fillId="24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24" borderId="14" xfId="0" applyNumberFormat="1" applyFont="1" applyFill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top" wrapText="1"/>
    </xf>
    <xf numFmtId="0" fontId="33" fillId="24" borderId="0" xfId="0" applyFont="1" applyFill="1" applyBorder="1" applyAlignment="1">
      <alignment horizontal="right" vertical="top" wrapText="1"/>
    </xf>
    <xf numFmtId="0" fontId="35" fillId="22" borderId="33" xfId="0" applyNumberFormat="1" applyFont="1" applyFill="1" applyBorder="1" applyAlignment="1">
      <alignment horizontal="center" vertical="center"/>
    </xf>
    <xf numFmtId="3" fontId="35" fillId="22" borderId="33" xfId="0" applyNumberFormat="1" applyFont="1" applyFill="1" applyBorder="1" applyAlignment="1">
      <alignment horizontal="center" vertical="center" wrapText="1"/>
    </xf>
    <xf numFmtId="0" fontId="35" fillId="22" borderId="36" xfId="0" applyNumberFormat="1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3" fontId="34" fillId="0" borderId="23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horizontal="left" vertical="center" wrapText="1"/>
    </xf>
    <xf numFmtId="3" fontId="33" fillId="22" borderId="14" xfId="0" applyNumberFormat="1" applyFont="1" applyFill="1" applyBorder="1" applyAlignment="1">
      <alignment horizontal="center" vertical="center"/>
    </xf>
    <xf numFmtId="165" fontId="33" fillId="22" borderId="14" xfId="0" applyNumberFormat="1" applyFont="1" applyFill="1" applyBorder="1" applyAlignment="1">
      <alignment horizontal="center" vertical="center"/>
    </xf>
    <xf numFmtId="165" fontId="33" fillId="22" borderId="19" xfId="0" applyNumberFormat="1" applyFont="1" applyFill="1" applyBorder="1" applyAlignment="1">
      <alignment horizontal="center" vertical="center"/>
    </xf>
    <xf numFmtId="0" fontId="33" fillId="22" borderId="21" xfId="0" applyFont="1" applyFill="1" applyBorder="1" applyAlignment="1">
      <alignment horizontal="left" vertical="center" wrapText="1"/>
    </xf>
    <xf numFmtId="0" fontId="34" fillId="22" borderId="14" xfId="0" applyFont="1" applyFill="1" applyBorder="1" applyAlignment="1">
      <alignment horizontal="left" vertical="center" wrapText="1"/>
    </xf>
    <xf numFmtId="4" fontId="33" fillId="0" borderId="14" xfId="0" applyNumberFormat="1" applyFont="1" applyBorder="1" applyAlignment="1">
      <alignment horizontal="center" vertical="center"/>
    </xf>
    <xf numFmtId="4" fontId="33" fillId="0" borderId="19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3" fillId="22" borderId="32" xfId="0" applyFont="1" applyFill="1" applyBorder="1" applyAlignment="1">
      <alignment horizontal="center" vertical="center"/>
    </xf>
    <xf numFmtId="0" fontId="33" fillId="22" borderId="33" xfId="0" applyFont="1" applyFill="1" applyBorder="1" applyAlignment="1">
      <alignment horizontal="left" vertical="center" wrapText="1"/>
    </xf>
    <xf numFmtId="4" fontId="33" fillId="22" borderId="33" xfId="0" applyNumberFormat="1" applyFont="1" applyFill="1" applyBorder="1" applyAlignment="1">
      <alignment horizontal="center" vertical="center"/>
    </xf>
    <xf numFmtId="4" fontId="33" fillId="22" borderId="3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38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left" vertical="center" wrapText="1"/>
    </xf>
    <xf numFmtId="0" fontId="38" fillId="4" borderId="40" xfId="0" applyFont="1" applyFill="1" applyBorder="1" applyAlignment="1">
      <alignment horizontal="center" vertical="center" wrapText="1"/>
    </xf>
    <xf numFmtId="3" fontId="35" fillId="4" borderId="40" xfId="0" applyNumberFormat="1" applyFont="1" applyFill="1" applyBorder="1" applyAlignment="1">
      <alignment horizontal="center" vertical="center" wrapText="1"/>
    </xf>
    <xf numFmtId="3" fontId="35" fillId="25" borderId="40" xfId="0" applyNumberFormat="1" applyFont="1" applyFill="1" applyBorder="1" applyAlignment="1">
      <alignment horizontal="center" vertical="center" wrapText="1"/>
    </xf>
    <xf numFmtId="3" fontId="34" fillId="4" borderId="40" xfId="0" applyNumberFormat="1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3" fontId="35" fillId="4" borderId="41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26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5" fillId="25" borderId="14" xfId="0" applyNumberFormat="1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5" fillId="4" borderId="19" xfId="0" applyNumberFormat="1" applyFont="1" applyFill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3" fontId="33" fillId="0" borderId="42" xfId="0" applyNumberFormat="1" applyFont="1" applyFill="1" applyBorder="1" applyAlignment="1">
      <alignment horizontal="center" vertical="center" wrapText="1"/>
    </xf>
    <xf numFmtId="3" fontId="33" fillId="26" borderId="42" xfId="0" applyNumberFormat="1" applyFont="1" applyFill="1" applyBorder="1" applyAlignment="1">
      <alignment horizontal="center" vertical="center" wrapText="1"/>
    </xf>
    <xf numFmtId="3" fontId="45" fillId="0" borderId="42" xfId="0" applyNumberFormat="1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3" fontId="45" fillId="0" borderId="43" xfId="0" applyNumberFormat="1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 wrapText="1"/>
    </xf>
    <xf numFmtId="3" fontId="33" fillId="0" borderId="44" xfId="0" applyNumberFormat="1" applyFont="1" applyFill="1" applyBorder="1" applyAlignment="1">
      <alignment horizontal="center" vertical="center" wrapText="1"/>
    </xf>
    <xf numFmtId="3" fontId="33" fillId="26" borderId="44" xfId="0" applyNumberFormat="1" applyFont="1" applyFill="1" applyBorder="1" applyAlignment="1">
      <alignment horizontal="center" vertical="center" wrapText="1"/>
    </xf>
    <xf numFmtId="3" fontId="45" fillId="0" borderId="44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3" fontId="45" fillId="0" borderId="45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3" fontId="33" fillId="0" borderId="46" xfId="0" applyNumberFormat="1" applyFont="1" applyFill="1" applyBorder="1" applyAlignment="1">
      <alignment horizontal="center" vertical="center" wrapText="1"/>
    </xf>
    <xf numFmtId="3" fontId="33" fillId="26" borderId="46" xfId="0" applyNumberFormat="1" applyFont="1" applyFill="1" applyBorder="1" applyAlignment="1">
      <alignment horizontal="center" vertical="center" wrapText="1"/>
    </xf>
    <xf numFmtId="3" fontId="45" fillId="0" borderId="46" xfId="0" applyNumberFormat="1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3" fontId="45" fillId="0" borderId="47" xfId="0" applyNumberFormat="1" applyFont="1" applyBorder="1" applyAlignment="1">
      <alignment horizontal="center" vertical="center"/>
    </xf>
    <xf numFmtId="0" fontId="33" fillId="0" borderId="48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3" fontId="33" fillId="26" borderId="14" xfId="0" applyNumberFormat="1" applyFont="1" applyFill="1" applyBorder="1" applyAlignment="1">
      <alignment horizontal="center" vertical="center" wrapText="1"/>
    </xf>
    <xf numFmtId="3" fontId="45" fillId="26" borderId="42" xfId="0" applyNumberFormat="1" applyFont="1" applyFill="1" applyBorder="1" applyAlignment="1">
      <alignment horizontal="center" vertical="center" wrapText="1"/>
    </xf>
    <xf numFmtId="3" fontId="45" fillId="26" borderId="44" xfId="0" applyNumberFormat="1" applyFont="1" applyFill="1" applyBorder="1" applyAlignment="1">
      <alignment horizontal="center" vertical="center" wrapText="1"/>
    </xf>
    <xf numFmtId="3" fontId="45" fillId="26" borderId="46" xfId="0" applyNumberFormat="1" applyFont="1" applyFill="1" applyBorder="1" applyAlignment="1">
      <alignment horizontal="center" vertical="center" wrapText="1"/>
    </xf>
    <xf numFmtId="3" fontId="47" fillId="27" borderId="14" xfId="0" applyNumberFormat="1" applyFont="1" applyFill="1" applyBorder="1" applyAlignment="1">
      <alignment horizontal="center" vertical="center" wrapText="1"/>
    </xf>
    <xf numFmtId="3" fontId="33" fillId="28" borderId="14" xfId="0" applyNumberFormat="1" applyFont="1" applyFill="1" applyBorder="1" applyAlignment="1">
      <alignment horizontal="center" vertical="center" wrapText="1"/>
    </xf>
    <xf numFmtId="0" fontId="45" fillId="28" borderId="14" xfId="0" applyFont="1" applyFill="1" applyBorder="1" applyAlignment="1">
      <alignment horizontal="center" vertical="center" wrapText="1"/>
    </xf>
    <xf numFmtId="3" fontId="45" fillId="28" borderId="19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 wrapText="1"/>
    </xf>
    <xf numFmtId="3" fontId="33" fillId="26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 wrapText="1"/>
    </xf>
    <xf numFmtId="3" fontId="33" fillId="0" borderId="51" xfId="0" applyNumberFormat="1" applyFont="1" applyFill="1" applyBorder="1" applyAlignment="1">
      <alignment horizontal="center" vertical="center" wrapText="1"/>
    </xf>
    <xf numFmtId="3" fontId="33" fillId="26" borderId="51" xfId="0" applyNumberFormat="1" applyFont="1" applyFill="1" applyBorder="1" applyAlignment="1">
      <alignment horizontal="center" vertical="center" wrapText="1"/>
    </xf>
    <xf numFmtId="3" fontId="45" fillId="26" borderId="51" xfId="0" applyNumberFormat="1" applyFont="1" applyFill="1" applyBorder="1" applyAlignment="1">
      <alignment horizontal="center" vertical="center" wrapText="1"/>
    </xf>
    <xf numFmtId="3" fontId="45" fillId="0" borderId="51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3" fontId="45" fillId="0" borderId="52" xfId="0" applyNumberFormat="1" applyFont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center" vertical="center" wrapText="1"/>
    </xf>
    <xf numFmtId="3" fontId="33" fillId="0" borderId="56" xfId="0" applyNumberFormat="1" applyFont="1" applyFill="1" applyBorder="1" applyAlignment="1">
      <alignment horizontal="center" vertical="center" wrapText="1"/>
    </xf>
    <xf numFmtId="3" fontId="33" fillId="26" borderId="56" xfId="0" applyNumberFormat="1" applyFont="1" applyFill="1" applyBorder="1" applyAlignment="1">
      <alignment horizontal="center" vertical="center" wrapText="1"/>
    </xf>
    <xf numFmtId="3" fontId="45" fillId="26" borderId="56" xfId="0" applyNumberFormat="1" applyFont="1" applyFill="1" applyBorder="1" applyAlignment="1">
      <alignment horizontal="center" vertical="center" wrapText="1"/>
    </xf>
    <xf numFmtId="3" fontId="45" fillId="0" borderId="56" xfId="0" applyNumberFormat="1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3" fontId="45" fillId="0" borderId="57" xfId="0" applyNumberFormat="1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 wrapText="1"/>
    </xf>
    <xf numFmtId="3" fontId="33" fillId="0" borderId="58" xfId="0" applyNumberFormat="1" applyFont="1" applyFill="1" applyBorder="1" applyAlignment="1">
      <alignment horizontal="center" vertical="center" wrapText="1"/>
    </xf>
    <xf numFmtId="3" fontId="33" fillId="26" borderId="58" xfId="0" applyNumberFormat="1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3" fontId="45" fillId="0" borderId="59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 wrapText="1"/>
    </xf>
    <xf numFmtId="3" fontId="33" fillId="0" borderId="60" xfId="0" applyNumberFormat="1" applyFont="1" applyFill="1" applyBorder="1" applyAlignment="1">
      <alignment horizontal="center" vertical="center" wrapText="1"/>
    </xf>
    <xf numFmtId="3" fontId="33" fillId="26" borderId="60" xfId="0" applyNumberFormat="1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3" fontId="45" fillId="0" borderId="61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33" fillId="0" borderId="34" xfId="0" applyNumberFormat="1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3" fontId="23" fillId="0" borderId="62" xfId="0" applyNumberFormat="1" applyFont="1" applyBorder="1" applyAlignment="1">
      <alignment horizontal="center" vertical="center" wrapText="1"/>
    </xf>
    <xf numFmtId="3" fontId="35" fillId="29" borderId="14" xfId="0" applyNumberFormat="1" applyFont="1" applyFill="1" applyBorder="1" applyAlignment="1">
      <alignment horizontal="center" vertical="center"/>
    </xf>
    <xf numFmtId="3" fontId="35" fillId="30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165" fontId="35" fillId="0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3" fontId="35" fillId="31" borderId="23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/>
    </xf>
    <xf numFmtId="3" fontId="35" fillId="31" borderId="14" xfId="0" applyNumberFormat="1" applyFont="1" applyFill="1" applyBorder="1" applyAlignment="1">
      <alignment horizontal="center" vertical="center"/>
    </xf>
    <xf numFmtId="3" fontId="38" fillId="31" borderId="14" xfId="0" applyNumberFormat="1" applyFont="1" applyFill="1" applyBorder="1" applyAlignment="1">
      <alignment horizontal="center" vertical="center" wrapText="1"/>
    </xf>
    <xf numFmtId="3" fontId="35" fillId="31" borderId="14" xfId="0" applyNumberFormat="1" applyFont="1" applyFill="1" applyBorder="1" applyAlignment="1">
      <alignment horizontal="center" vertical="center" wrapText="1"/>
    </xf>
    <xf numFmtId="4" fontId="35" fillId="31" borderId="14" xfId="0" applyNumberFormat="1" applyFont="1" applyFill="1" applyBorder="1" applyAlignment="1">
      <alignment horizontal="center" vertical="center" wrapText="1"/>
    </xf>
    <xf numFmtId="165" fontId="35" fillId="31" borderId="16" xfId="0" applyNumberFormat="1" applyFont="1" applyFill="1" applyBorder="1" applyAlignment="1">
      <alignment horizontal="center" vertical="center" wrapText="1"/>
    </xf>
    <xf numFmtId="165" fontId="35" fillId="31" borderId="14" xfId="0" applyNumberFormat="1" applyFont="1" applyFill="1" applyBorder="1" applyAlignment="1">
      <alignment horizontal="center" vertical="center" wrapText="1"/>
    </xf>
    <xf numFmtId="3" fontId="35" fillId="31" borderId="16" xfId="0" applyNumberFormat="1" applyFont="1" applyFill="1" applyBorder="1" applyAlignment="1">
      <alignment horizontal="center" vertical="center" wrapText="1"/>
    </xf>
    <xf numFmtId="3" fontId="35" fillId="31" borderId="33" xfId="0" applyNumberFormat="1" applyFont="1" applyFill="1" applyBorder="1" applyAlignment="1">
      <alignment horizontal="center" vertical="center" wrapText="1"/>
    </xf>
    <xf numFmtId="3" fontId="34" fillId="31" borderId="23" xfId="0" applyNumberFormat="1" applyFont="1" applyFill="1" applyBorder="1" applyAlignment="1">
      <alignment horizontal="center" vertical="center"/>
    </xf>
    <xf numFmtId="3" fontId="33" fillId="31" borderId="14" xfId="0" applyNumberFormat="1" applyFont="1" applyFill="1" applyBorder="1" applyAlignment="1">
      <alignment horizontal="center" vertical="center"/>
    </xf>
    <xf numFmtId="165" fontId="33" fillId="32" borderId="14" xfId="0" applyNumberFormat="1" applyFont="1" applyFill="1" applyBorder="1" applyAlignment="1">
      <alignment horizontal="center" vertical="center"/>
    </xf>
    <xf numFmtId="4" fontId="33" fillId="31" borderId="14" xfId="0" applyNumberFormat="1" applyFont="1" applyFill="1" applyBorder="1" applyAlignment="1">
      <alignment horizontal="center" vertical="center"/>
    </xf>
    <xf numFmtId="3" fontId="34" fillId="31" borderId="14" xfId="0" applyNumberFormat="1" applyFont="1" applyFill="1" applyBorder="1" applyAlignment="1">
      <alignment horizontal="center" vertical="center"/>
    </xf>
    <xf numFmtId="0" fontId="35" fillId="32" borderId="33" xfId="0" applyNumberFormat="1" applyFont="1" applyFill="1" applyBorder="1" applyAlignment="1">
      <alignment horizontal="center" vertical="center"/>
    </xf>
    <xf numFmtId="4" fontId="33" fillId="32" borderId="3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3" fontId="34" fillId="25" borderId="40" xfId="0" applyNumberFormat="1" applyFont="1" applyFill="1" applyBorder="1" applyAlignment="1">
      <alignment horizontal="center" vertical="center" wrapText="1"/>
    </xf>
    <xf numFmtId="3" fontId="34" fillId="2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63" xfId="0" applyNumberFormat="1" applyFont="1" applyBorder="1" applyAlignment="1">
      <alignment/>
    </xf>
    <xf numFmtId="1" fontId="21" fillId="0" borderId="51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6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/>
    </xf>
    <xf numFmtId="164" fontId="21" fillId="22" borderId="64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18" fillId="22" borderId="44" xfId="0" applyNumberFormat="1" applyFont="1" applyFill="1" applyBorder="1" applyAlignment="1">
      <alignment/>
    </xf>
    <xf numFmtId="164" fontId="21" fillId="22" borderId="65" xfId="0" applyNumberFormat="1" applyFont="1" applyFill="1" applyBorder="1" applyAlignment="1">
      <alignment/>
    </xf>
    <xf numFmtId="1" fontId="21" fillId="22" borderId="56" xfId="0" applyNumberFormat="1" applyFont="1" applyFill="1" applyBorder="1" applyAlignment="1">
      <alignment horizontal="center"/>
    </xf>
    <xf numFmtId="3" fontId="18" fillId="22" borderId="56" xfId="0" applyNumberFormat="1" applyFont="1" applyFill="1" applyBorder="1" applyAlignment="1">
      <alignment/>
    </xf>
    <xf numFmtId="164" fontId="21" fillId="22" borderId="66" xfId="0" applyNumberFormat="1" applyFont="1" applyFill="1" applyBorder="1" applyAlignment="1">
      <alignment/>
    </xf>
    <xf numFmtId="1" fontId="21" fillId="22" borderId="60" xfId="0" applyNumberFormat="1" applyFont="1" applyFill="1" applyBorder="1" applyAlignment="1">
      <alignment horizontal="center"/>
    </xf>
    <xf numFmtId="3" fontId="21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164" fontId="21" fillId="22" borderId="63" xfId="0" applyNumberFormat="1" applyFont="1" applyFill="1" applyBorder="1" applyAlignment="1">
      <alignment/>
    </xf>
    <xf numFmtId="1" fontId="21" fillId="22" borderId="51" xfId="0" applyNumberFormat="1" applyFont="1" applyFill="1" applyBorder="1" applyAlignment="1">
      <alignment horizontal="center"/>
    </xf>
    <xf numFmtId="3" fontId="21" fillId="22" borderId="51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/>
    </xf>
    <xf numFmtId="3" fontId="21" fillId="22" borderId="44" xfId="0" applyNumberFormat="1" applyFont="1" applyFill="1" applyBorder="1" applyAlignment="1">
      <alignment horizontal="center" vertical="top" wrapText="1"/>
    </xf>
    <xf numFmtId="3" fontId="21" fillId="22" borderId="56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56" xfId="0" applyNumberFormat="1" applyFont="1" applyFill="1" applyBorder="1" applyAlignment="1">
      <alignment horizontal="center" vertical="top" wrapText="1"/>
    </xf>
    <xf numFmtId="3" fontId="21" fillId="22" borderId="60" xfId="0" applyNumberFormat="1" applyFont="1" applyFill="1" applyBorder="1" applyAlignment="1">
      <alignment horizontal="center" vertical="top" wrapText="1"/>
    </xf>
    <xf numFmtId="3" fontId="18" fillId="22" borderId="60" xfId="0" applyNumberFormat="1" applyFont="1" applyFill="1" applyBorder="1" applyAlignment="1">
      <alignment horizontal="center" vertical="top" wrapText="1"/>
    </xf>
    <xf numFmtId="3" fontId="20" fillId="0" borderId="67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22" borderId="69" xfId="0" applyNumberFormat="1" applyFont="1" applyFill="1" applyBorder="1" applyAlignment="1">
      <alignment/>
    </xf>
    <xf numFmtId="3" fontId="18" fillId="22" borderId="70" xfId="0" applyNumberFormat="1" applyFont="1" applyFill="1" applyBorder="1" applyAlignment="1">
      <alignment/>
    </xf>
    <xf numFmtId="3" fontId="18" fillId="22" borderId="68" xfId="0" applyNumberFormat="1" applyFont="1" applyFill="1" applyBorder="1" applyAlignment="1">
      <alignment/>
    </xf>
    <xf numFmtId="3" fontId="18" fillId="22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0" fontId="18" fillId="0" borderId="72" xfId="0" applyFont="1" applyBorder="1" applyAlignment="1">
      <alignment/>
    </xf>
    <xf numFmtId="0" fontId="0" fillId="22" borderId="72" xfId="0" applyNumberFormat="1" applyFill="1" applyBorder="1" applyAlignment="1">
      <alignment/>
    </xf>
    <xf numFmtId="0" fontId="0" fillId="22" borderId="72" xfId="0" applyFill="1" applyBorder="1" applyAlignment="1">
      <alignment/>
    </xf>
    <xf numFmtId="3" fontId="0" fillId="22" borderId="72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3" fontId="34" fillId="0" borderId="23" xfId="0" applyNumberFormat="1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0" fillId="0" borderId="73" xfId="0" applyBorder="1" applyAlignment="1">
      <alignment/>
    </xf>
    <xf numFmtId="3" fontId="21" fillId="0" borderId="56" xfId="0" applyNumberFormat="1" applyFont="1" applyBorder="1" applyAlignment="1">
      <alignment/>
    </xf>
    <xf numFmtId="3" fontId="21" fillId="22" borderId="44" xfId="0" applyNumberFormat="1" applyFont="1" applyFill="1" applyBorder="1" applyAlignment="1">
      <alignment/>
    </xf>
    <xf numFmtId="3" fontId="21" fillId="22" borderId="56" xfId="0" applyNumberFormat="1" applyFont="1" applyFill="1" applyBorder="1" applyAlignment="1">
      <alignment/>
    </xf>
    <xf numFmtId="3" fontId="21" fillId="0" borderId="60" xfId="0" applyNumberFormat="1" applyFont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51" xfId="0" applyNumberFormat="1" applyFont="1" applyFill="1" applyBorder="1" applyAlignment="1">
      <alignment/>
    </xf>
    <xf numFmtId="164" fontId="21" fillId="0" borderId="66" xfId="0" applyNumberFormat="1" applyFont="1" applyBorder="1" applyAlignment="1">
      <alignment/>
    </xf>
    <xf numFmtId="1" fontId="21" fillId="0" borderId="60" xfId="0" applyNumberFormat="1" applyFont="1" applyBorder="1" applyAlignment="1">
      <alignment horizontal="center"/>
    </xf>
    <xf numFmtId="0" fontId="0" fillId="0" borderId="74" xfId="0" applyFill="1" applyBorder="1" applyAlignment="1">
      <alignment/>
    </xf>
    <xf numFmtId="3" fontId="19" fillId="33" borderId="72" xfId="0" applyNumberFormat="1" applyFont="1" applyFill="1" applyBorder="1" applyAlignment="1">
      <alignment horizontal="center" vertical="top" wrapText="1"/>
    </xf>
    <xf numFmtId="3" fontId="0" fillId="33" borderId="72" xfId="0" applyNumberFormat="1" applyFill="1" applyBorder="1" applyAlignment="1">
      <alignment/>
    </xf>
    <xf numFmtId="0" fontId="0" fillId="33" borderId="75" xfId="0" applyFill="1" applyBorder="1" applyAlignment="1">
      <alignment/>
    </xf>
    <xf numFmtId="0" fontId="18" fillId="33" borderId="76" xfId="0" applyFont="1" applyFill="1" applyBorder="1" applyAlignment="1">
      <alignment/>
    </xf>
    <xf numFmtId="0" fontId="0" fillId="33" borderId="77" xfId="0" applyFill="1" applyBorder="1" applyAlignment="1">
      <alignment/>
    </xf>
    <xf numFmtId="3" fontId="0" fillId="33" borderId="78" xfId="0" applyNumberFormat="1" applyFill="1" applyBorder="1" applyAlignment="1">
      <alignment/>
    </xf>
    <xf numFmtId="3" fontId="0" fillId="33" borderId="76" xfId="0" applyNumberFormat="1" applyFill="1" applyBorder="1" applyAlignment="1">
      <alignment/>
    </xf>
    <xf numFmtId="3" fontId="0" fillId="33" borderId="77" xfId="0" applyNumberFormat="1" applyFill="1" applyBorder="1" applyAlignment="1">
      <alignment/>
    </xf>
    <xf numFmtId="3" fontId="0" fillId="33" borderId="79" xfId="0" applyNumberFormat="1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72" xfId="0" applyFill="1" applyBorder="1" applyAlignment="1">
      <alignment/>
    </xf>
    <xf numFmtId="0" fontId="18" fillId="33" borderId="72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28" fillId="33" borderId="0" xfId="0" applyNumberFormat="1" applyFont="1" applyFill="1" applyAlignment="1">
      <alignment/>
    </xf>
    <xf numFmtId="3" fontId="19" fillId="0" borderId="67" xfId="0" applyNumberFormat="1" applyFont="1" applyBorder="1" applyAlignment="1">
      <alignment horizontal="center" vertical="top" wrapText="1"/>
    </xf>
    <xf numFmtId="3" fontId="21" fillId="0" borderId="2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21" fillId="22" borderId="69" xfId="0" applyNumberFormat="1" applyFont="1" applyFill="1" applyBorder="1" applyAlignment="1">
      <alignment/>
    </xf>
    <xf numFmtId="3" fontId="21" fillId="22" borderId="71" xfId="0" applyNumberFormat="1" applyFont="1" applyFill="1" applyBorder="1" applyAlignment="1">
      <alignment/>
    </xf>
    <xf numFmtId="3" fontId="21" fillId="22" borderId="68" xfId="0" applyNumberFormat="1" applyFont="1" applyFill="1" applyBorder="1" applyAlignment="1">
      <alignment/>
    </xf>
    <xf numFmtId="3" fontId="21" fillId="22" borderId="70" xfId="0" applyNumberFormat="1" applyFont="1" applyFill="1" applyBorder="1" applyAlignment="1">
      <alignment/>
    </xf>
    <xf numFmtId="3" fontId="21" fillId="0" borderId="71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82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2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83" xfId="0" applyFill="1" applyBorder="1" applyAlignment="1">
      <alignment/>
    </xf>
    <xf numFmtId="0" fontId="48" fillId="0" borderId="84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3" fontId="35" fillId="34" borderId="14" xfId="0" applyNumberFormat="1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7" fillId="35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5" fillId="27" borderId="14" xfId="0" applyFont="1" applyFill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3" fontId="0" fillId="0" borderId="74" xfId="0" applyNumberFormat="1" applyFill="1" applyBorder="1" applyAlignment="1">
      <alignment/>
    </xf>
    <xf numFmtId="0" fontId="34" fillId="4" borderId="3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28" borderId="14" xfId="0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3" fillId="0" borderId="85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left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34" fillId="22" borderId="33" xfId="0" applyFont="1" applyFill="1" applyBorder="1" applyAlignment="1">
      <alignment horizontal="center" vertical="center" wrapText="1"/>
    </xf>
    <xf numFmtId="0" fontId="49" fillId="36" borderId="3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3" fontId="47" fillId="38" borderId="19" xfId="0" applyNumberFormat="1" applyFont="1" applyFill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 wrapText="1"/>
    </xf>
    <xf numFmtId="3" fontId="33" fillId="26" borderId="40" xfId="0" applyNumberFormat="1" applyFont="1" applyFill="1" applyBorder="1" applyAlignment="1">
      <alignment horizontal="center" vertical="center" wrapText="1"/>
    </xf>
    <xf numFmtId="3" fontId="45" fillId="0" borderId="40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42" fillId="0" borderId="48" xfId="0" applyFont="1" applyFill="1" applyBorder="1" applyAlignment="1">
      <alignment horizontal="left" vertical="center" wrapText="1"/>
    </xf>
    <xf numFmtId="0" fontId="42" fillId="0" borderId="85" xfId="0" applyFont="1" applyFill="1" applyBorder="1" applyAlignment="1">
      <alignment horizontal="left" vertical="center" wrapText="1"/>
    </xf>
    <xf numFmtId="0" fontId="42" fillId="0" borderId="72" xfId="0" applyFont="1" applyBorder="1" applyAlignment="1">
      <alignment vertical="center" wrapText="1"/>
    </xf>
    <xf numFmtId="0" fontId="42" fillId="0" borderId="75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0" fontId="33" fillId="0" borderId="72" xfId="0" applyFont="1" applyBorder="1" applyAlignment="1">
      <alignment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 quotePrefix="1">
      <alignment horizontal="center" vertical="center" wrapText="1"/>
    </xf>
    <xf numFmtId="2" fontId="33" fillId="0" borderId="48" xfId="0" applyNumberFormat="1" applyFont="1" applyFill="1" applyBorder="1" applyAlignment="1">
      <alignment horizontal="left" vertical="center" wrapText="1"/>
    </xf>
    <xf numFmtId="0" fontId="33" fillId="28" borderId="16" xfId="0" applyFont="1" applyFill="1" applyBorder="1" applyAlignment="1">
      <alignment horizontal="center" vertical="center" wrapText="1"/>
    </xf>
    <xf numFmtId="0" fontId="45" fillId="28" borderId="16" xfId="0" applyFont="1" applyFill="1" applyBorder="1" applyAlignment="1">
      <alignment horizontal="center" vertical="center" wrapText="1"/>
    </xf>
    <xf numFmtId="3" fontId="51" fillId="28" borderId="16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/>
    </xf>
    <xf numFmtId="2" fontId="52" fillId="27" borderId="34" xfId="0" applyNumberFormat="1" applyFont="1" applyFill="1" applyBorder="1" applyAlignment="1">
      <alignment horizontal="left" vertical="center" wrapText="1"/>
    </xf>
    <xf numFmtId="3" fontId="35" fillId="27" borderId="14" xfId="0" applyNumberFormat="1" applyFont="1" applyFill="1" applyBorder="1" applyAlignment="1">
      <alignment horizontal="center" vertical="center" wrapText="1"/>
    </xf>
    <xf numFmtId="166" fontId="34" fillId="27" borderId="13" xfId="0" applyNumberFormat="1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left" vertical="center" wrapText="1"/>
    </xf>
    <xf numFmtId="166" fontId="51" fillId="27" borderId="13" xfId="0" applyNumberFormat="1" applyFont="1" applyFill="1" applyBorder="1" applyAlignment="1">
      <alignment horizontal="center" vertical="center"/>
    </xf>
    <xf numFmtId="0" fontId="47" fillId="27" borderId="34" xfId="0" applyFont="1" applyFill="1" applyBorder="1" applyAlignment="1">
      <alignment horizontal="left" vertical="center" wrapText="1"/>
    </xf>
    <xf numFmtId="0" fontId="35" fillId="27" borderId="0" xfId="0" applyFont="1" applyFill="1" applyBorder="1" applyAlignment="1">
      <alignment horizontal="center" vertical="center" wrapText="1"/>
    </xf>
    <xf numFmtId="3" fontId="51" fillId="27" borderId="14" xfId="0" applyNumberFormat="1" applyFont="1" applyFill="1" applyBorder="1" applyAlignment="1">
      <alignment horizontal="center" vertical="center" wrapText="1"/>
    </xf>
    <xf numFmtId="0" fontId="33" fillId="0" borderId="86" xfId="0" applyFont="1" applyBorder="1" applyAlignment="1">
      <alignment vertical="center" wrapText="1"/>
    </xf>
    <xf numFmtId="0" fontId="33" fillId="0" borderId="87" xfId="0" applyFont="1" applyBorder="1" applyAlignment="1">
      <alignment vertical="center" wrapText="1"/>
    </xf>
    <xf numFmtId="0" fontId="33" fillId="0" borderId="88" xfId="0" applyFont="1" applyBorder="1" applyAlignment="1">
      <alignment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 wrapText="1"/>
    </xf>
    <xf numFmtId="3" fontId="33" fillId="0" borderId="33" xfId="0" applyNumberFormat="1" applyFont="1" applyFill="1" applyBorder="1" applyAlignment="1">
      <alignment horizontal="center" vertical="center" wrapText="1"/>
    </xf>
    <xf numFmtId="3" fontId="33" fillId="26" borderId="33" xfId="0" applyNumberFormat="1" applyFont="1" applyFill="1" applyBorder="1" applyAlignment="1">
      <alignment horizontal="center" vertical="center" wrapText="1"/>
    </xf>
    <xf numFmtId="3" fontId="45" fillId="0" borderId="36" xfId="0" applyNumberFormat="1" applyFont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2" fontId="47" fillId="27" borderId="34" xfId="0" applyNumberFormat="1" applyFont="1" applyFill="1" applyBorder="1" applyAlignment="1">
      <alignment horizontal="left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75" xfId="0" applyFont="1" applyBorder="1" applyAlignment="1">
      <alignment vertical="center" wrapText="1"/>
    </xf>
    <xf numFmtId="0" fontId="33" fillId="39" borderId="28" xfId="0" applyFont="1" applyFill="1" applyBorder="1" applyAlignment="1">
      <alignment horizontal="center" vertical="center"/>
    </xf>
    <xf numFmtId="0" fontId="33" fillId="39" borderId="28" xfId="0" applyFont="1" applyFill="1" applyBorder="1" applyAlignment="1">
      <alignment vertical="center" wrapText="1"/>
    </xf>
    <xf numFmtId="0" fontId="33" fillId="39" borderId="28" xfId="0" applyFont="1" applyFill="1" applyBorder="1" applyAlignment="1">
      <alignment horizontal="center" vertical="center" wrapText="1"/>
    </xf>
    <xf numFmtId="3" fontId="33" fillId="39" borderId="28" xfId="0" applyNumberFormat="1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 wrapText="1"/>
    </xf>
    <xf numFmtId="0" fontId="45" fillId="39" borderId="28" xfId="0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3" fontId="33" fillId="0" borderId="18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3" fillId="26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/>
    </xf>
    <xf numFmtId="3" fontId="33" fillId="39" borderId="18" xfId="0" applyNumberFormat="1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vertical="center" wrapText="1"/>
    </xf>
    <xf numFmtId="0" fontId="33" fillId="39" borderId="0" xfId="0" applyFont="1" applyFill="1" applyBorder="1" applyAlignment="1">
      <alignment horizontal="center" vertical="center" wrapText="1"/>
    </xf>
    <xf numFmtId="3" fontId="33" fillId="39" borderId="0" xfId="0" applyNumberFormat="1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 wrapText="1"/>
    </xf>
    <xf numFmtId="0" fontId="45" fillId="39" borderId="0" xfId="0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89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33" borderId="72" xfId="0" applyFill="1" applyBorder="1" applyAlignment="1">
      <alignment/>
    </xf>
    <xf numFmtId="0" fontId="35" fillId="22" borderId="91" xfId="0" applyFont="1" applyFill="1" applyBorder="1" applyAlignment="1">
      <alignment horizontal="center" vertical="center"/>
    </xf>
    <xf numFmtId="0" fontId="35" fillId="22" borderId="35" xfId="0" applyFont="1" applyFill="1" applyBorder="1" applyAlignment="1">
      <alignment horizontal="center" vertical="center"/>
    </xf>
    <xf numFmtId="0" fontId="35" fillId="22" borderId="92" xfId="0" applyFont="1" applyFill="1" applyBorder="1" applyAlignment="1">
      <alignment horizontal="center" vertical="center"/>
    </xf>
    <xf numFmtId="0" fontId="35" fillId="29" borderId="91" xfId="0" applyFont="1" applyFill="1" applyBorder="1" applyAlignment="1">
      <alignment horizontal="center" vertical="center" wrapText="1"/>
    </xf>
    <xf numFmtId="0" fontId="35" fillId="29" borderId="92" xfId="0" applyFont="1" applyFill="1" applyBorder="1" applyAlignment="1">
      <alignment horizontal="center" vertical="center" wrapText="1"/>
    </xf>
    <xf numFmtId="0" fontId="35" fillId="32" borderId="91" xfId="0" applyFont="1" applyFill="1" applyBorder="1" applyAlignment="1">
      <alignment horizontal="center" vertical="center"/>
    </xf>
    <xf numFmtId="0" fontId="35" fillId="32" borderId="92" xfId="0" applyFont="1" applyFill="1" applyBorder="1" applyAlignment="1">
      <alignment horizontal="center" vertical="center"/>
    </xf>
    <xf numFmtId="0" fontId="35" fillId="29" borderId="91" xfId="0" applyFont="1" applyFill="1" applyBorder="1" applyAlignment="1">
      <alignment horizontal="center" vertical="center"/>
    </xf>
    <xf numFmtId="0" fontId="35" fillId="29" borderId="92" xfId="0" applyFont="1" applyFill="1" applyBorder="1" applyAlignment="1">
      <alignment horizontal="center" vertical="center"/>
    </xf>
    <xf numFmtId="0" fontId="35" fillId="22" borderId="93" xfId="0" applyFont="1" applyFill="1" applyBorder="1" applyAlignment="1">
      <alignment horizontal="center" vertical="center" wrapText="1"/>
    </xf>
    <xf numFmtId="0" fontId="35" fillId="22" borderId="94" xfId="0" applyFont="1" applyFill="1" applyBorder="1" applyAlignment="1">
      <alignment horizontal="center" vertical="center" wrapText="1"/>
    </xf>
    <xf numFmtId="0" fontId="35" fillId="22" borderId="95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textRotation="90"/>
    </xf>
    <xf numFmtId="0" fontId="35" fillId="22" borderId="96" xfId="0" applyFont="1" applyFill="1" applyBorder="1" applyAlignment="1">
      <alignment horizontal="center" vertical="center" wrapText="1"/>
    </xf>
    <xf numFmtId="0" fontId="35" fillId="22" borderId="97" xfId="0" applyFont="1" applyFill="1" applyBorder="1" applyAlignment="1">
      <alignment horizontal="center" vertical="center" wrapText="1"/>
    </xf>
    <xf numFmtId="0" fontId="35" fillId="22" borderId="98" xfId="0" applyFont="1" applyFill="1" applyBorder="1" applyAlignment="1">
      <alignment horizontal="center" vertical="center" wrapText="1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10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53" xfId="0" applyFont="1" applyFill="1" applyBorder="1" applyAlignment="1">
      <alignment horizontal="center" vertical="center" textRotation="90" wrapText="1"/>
    </xf>
    <xf numFmtId="0" fontId="38" fillId="0" borderId="38" xfId="0" applyFont="1" applyFill="1" applyBorder="1" applyAlignment="1">
      <alignment horizontal="center" vertical="center" textRotation="90" wrapText="1"/>
    </xf>
    <xf numFmtId="0" fontId="38" fillId="0" borderId="27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5" fillId="22" borderId="102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34" xfId="0" applyFont="1" applyBorder="1" applyAlignment="1">
      <alignment vertical="center"/>
    </xf>
    <xf numFmtId="0" fontId="35" fillId="0" borderId="33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22" borderId="102" xfId="0" applyFont="1" applyFill="1" applyBorder="1" applyAlignment="1">
      <alignment horizontal="center" vertical="center"/>
    </xf>
    <xf numFmtId="0" fontId="35" fillId="32" borderId="102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5" fillId="22" borderId="13" xfId="0" applyFont="1" applyFill="1" applyBorder="1" applyAlignment="1">
      <alignment horizontal="left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35" fillId="22" borderId="91" xfId="0" applyFont="1" applyFill="1" applyBorder="1" applyAlignment="1">
      <alignment horizontal="center" vertical="center" wrapText="1"/>
    </xf>
    <xf numFmtId="0" fontId="35" fillId="22" borderId="9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5" fillId="0" borderId="37" xfId="0" applyFont="1" applyFill="1" applyBorder="1" applyAlignment="1">
      <alignment horizontal="left" vertical="center" wrapText="1"/>
    </xf>
    <xf numFmtId="0" fontId="41" fillId="4" borderId="20" xfId="0" applyFont="1" applyFill="1" applyBorder="1" applyAlignment="1">
      <alignment horizontal="center" vertical="top"/>
    </xf>
    <xf numFmtId="0" fontId="35" fillId="22" borderId="10" xfId="0" applyFont="1" applyFill="1" applyBorder="1" applyAlignment="1">
      <alignment horizontal="center" vertical="center"/>
    </xf>
    <xf numFmtId="0" fontId="40" fillId="22" borderId="11" xfId="0" applyFont="1" applyFill="1" applyBorder="1" applyAlignment="1">
      <alignment horizontal="center" vertical="center"/>
    </xf>
    <xf numFmtId="0" fontId="35" fillId="22" borderId="25" xfId="0" applyFont="1" applyFill="1" applyBorder="1" applyAlignment="1">
      <alignment horizontal="center" vertical="center"/>
    </xf>
    <xf numFmtId="0" fontId="35" fillId="22" borderId="19" xfId="0" applyFont="1" applyFill="1" applyBorder="1" applyAlignment="1">
      <alignment horizontal="center" vertical="center"/>
    </xf>
    <xf numFmtId="0" fontId="35" fillId="22" borderId="30" xfId="0" applyFont="1" applyFill="1" applyBorder="1" applyAlignment="1">
      <alignment horizontal="center" vertical="center"/>
    </xf>
    <xf numFmtId="0" fontId="35" fillId="22" borderId="28" xfId="0" applyFont="1" applyFill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 wrapText="1"/>
    </xf>
    <xf numFmtId="0" fontId="34" fillId="22" borderId="103" xfId="0" applyFont="1" applyFill="1" applyBorder="1" applyAlignment="1">
      <alignment horizontal="center" vertical="center" wrapText="1"/>
    </xf>
    <xf numFmtId="0" fontId="34" fillId="22" borderId="104" xfId="0" applyFont="1" applyFill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55" xfId="0" applyFont="1" applyFill="1" applyBorder="1" applyAlignment="1">
      <alignment horizontal="center" vertical="center" wrapText="1"/>
    </xf>
    <xf numFmtId="0" fontId="34" fillId="22" borderId="37" xfId="0" applyFont="1" applyFill="1" applyBorder="1" applyAlignment="1">
      <alignment horizontal="center" vertical="center"/>
    </xf>
    <xf numFmtId="0" fontId="34" fillId="22" borderId="13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53" fillId="22" borderId="84" xfId="0" applyFont="1" applyFill="1" applyBorder="1" applyAlignment="1">
      <alignment horizontal="center" vertical="center" wrapText="1"/>
    </xf>
    <xf numFmtId="0" fontId="53" fillId="22" borderId="1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54" fillId="22" borderId="2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right" vertical="center" wrapText="1"/>
    </xf>
    <xf numFmtId="0" fontId="33" fillId="28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45" fillId="2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3" fillId="4" borderId="91" xfId="0" applyFont="1" applyFill="1" applyBorder="1" applyAlignment="1">
      <alignment horizontal="center" vertical="center"/>
    </xf>
    <xf numFmtId="0" fontId="43" fillId="4" borderId="9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4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60" t="s">
        <v>230</v>
      </c>
      <c r="B1" s="560"/>
      <c r="C1" s="560"/>
      <c r="D1" s="560"/>
      <c r="E1" s="560"/>
      <c r="F1" s="560"/>
      <c r="G1" s="560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339">
        <f>B4*C4*5.5%/360</f>
        <v>28875</v>
      </c>
      <c r="F4" s="339">
        <v>0</v>
      </c>
      <c r="G4" s="339">
        <f>E3+E4</f>
        <v>28875</v>
      </c>
    </row>
    <row r="5" spans="1:7" s="2" customFormat="1" ht="15">
      <c r="A5" s="340" t="s">
        <v>8</v>
      </c>
      <c r="B5" s="341">
        <v>90</v>
      </c>
      <c r="C5" s="342">
        <f aca="true" t="shared" si="0" ref="C5:C39">C4-D4</f>
        <v>2100000</v>
      </c>
      <c r="D5" s="343">
        <v>12500</v>
      </c>
      <c r="E5" s="344">
        <f>B5*C5*0.07/360</f>
        <v>36750.00000000001</v>
      </c>
      <c r="F5" s="344"/>
      <c r="G5" s="344"/>
    </row>
    <row r="6" spans="1:8" ht="15">
      <c r="A6" s="345" t="s">
        <v>9</v>
      </c>
      <c r="B6" s="346">
        <v>90</v>
      </c>
      <c r="C6" s="347">
        <f t="shared" si="0"/>
        <v>2087500</v>
      </c>
      <c r="D6" s="348">
        <v>12500</v>
      </c>
      <c r="E6" s="349">
        <f>B6*C6*0.07/360</f>
        <v>36531.25000000001</v>
      </c>
      <c r="F6" s="349"/>
      <c r="G6" s="349"/>
      <c r="H6" s="14">
        <f>SUM(D5:D8)</f>
        <v>50000</v>
      </c>
    </row>
    <row r="7" spans="1:7" ht="15">
      <c r="A7" s="345" t="s">
        <v>10</v>
      </c>
      <c r="B7" s="346">
        <v>90</v>
      </c>
      <c r="C7" s="347">
        <f t="shared" si="0"/>
        <v>2075000</v>
      </c>
      <c r="D7" s="348">
        <f aca="true" t="shared" si="1" ref="D7:D25">D6</f>
        <v>12500</v>
      </c>
      <c r="E7" s="349">
        <f aca="true" t="shared" si="2" ref="E7:E40">B7*C7*0.07/360</f>
        <v>36312.50000000001</v>
      </c>
      <c r="F7" s="349"/>
      <c r="G7" s="349"/>
    </row>
    <row r="8" spans="1:7" ht="15.75" thickBot="1">
      <c r="A8" s="350" t="s">
        <v>11</v>
      </c>
      <c r="B8" s="351">
        <v>90</v>
      </c>
      <c r="C8" s="352">
        <f t="shared" si="0"/>
        <v>2062500</v>
      </c>
      <c r="D8" s="353">
        <f t="shared" si="1"/>
        <v>12500</v>
      </c>
      <c r="E8" s="354">
        <f>B8*C8*0.07/360</f>
        <v>36093.75000000001</v>
      </c>
      <c r="F8" s="354">
        <v>50000</v>
      </c>
      <c r="G8" s="354">
        <v>173688</v>
      </c>
    </row>
    <row r="9" spans="1:7" ht="15">
      <c r="A9" s="340" t="s">
        <v>12</v>
      </c>
      <c r="B9" s="341">
        <v>90</v>
      </c>
      <c r="C9" s="342">
        <f t="shared" si="0"/>
        <v>2050000</v>
      </c>
      <c r="D9" s="343">
        <f t="shared" si="1"/>
        <v>12500</v>
      </c>
      <c r="E9" s="344">
        <f t="shared" si="2"/>
        <v>35875.00000000001</v>
      </c>
      <c r="F9" s="344"/>
      <c r="G9" s="344"/>
    </row>
    <row r="10" spans="1:8" ht="15">
      <c r="A10" s="345" t="s">
        <v>13</v>
      </c>
      <c r="B10" s="346">
        <v>90</v>
      </c>
      <c r="C10" s="347">
        <f t="shared" si="0"/>
        <v>2037500</v>
      </c>
      <c r="D10" s="348">
        <f t="shared" si="1"/>
        <v>12500</v>
      </c>
      <c r="E10" s="349">
        <f t="shared" si="2"/>
        <v>35656.25000000001</v>
      </c>
      <c r="F10" s="349"/>
      <c r="G10" s="349"/>
      <c r="H10" s="14">
        <v>50000</v>
      </c>
    </row>
    <row r="11" spans="1:7" ht="15">
      <c r="A11" s="345" t="s">
        <v>14</v>
      </c>
      <c r="B11" s="346">
        <v>90</v>
      </c>
      <c r="C11" s="347">
        <f t="shared" si="0"/>
        <v>2025000</v>
      </c>
      <c r="D11" s="348">
        <f t="shared" si="1"/>
        <v>12500</v>
      </c>
      <c r="E11" s="349">
        <f t="shared" si="2"/>
        <v>35437.50000000001</v>
      </c>
      <c r="F11" s="349"/>
      <c r="G11" s="349"/>
    </row>
    <row r="12" spans="1:7" ht="15.75" thickBot="1">
      <c r="A12" s="350" t="s">
        <v>15</v>
      </c>
      <c r="B12" s="351">
        <v>90</v>
      </c>
      <c r="C12" s="352">
        <f t="shared" si="0"/>
        <v>2012500</v>
      </c>
      <c r="D12" s="353">
        <f t="shared" si="1"/>
        <v>12500</v>
      </c>
      <c r="E12" s="354">
        <f t="shared" si="2"/>
        <v>35218.75000000001</v>
      </c>
      <c r="F12" s="354">
        <f>SUM(D9:D12)</f>
        <v>50000</v>
      </c>
      <c r="G12" s="354">
        <v>170188</v>
      </c>
    </row>
    <row r="13" spans="1:7" ht="15">
      <c r="A13" s="340" t="s">
        <v>16</v>
      </c>
      <c r="B13" s="341">
        <v>90</v>
      </c>
      <c r="C13" s="342">
        <f t="shared" si="0"/>
        <v>2000000</v>
      </c>
      <c r="D13" s="343">
        <f t="shared" si="1"/>
        <v>12500</v>
      </c>
      <c r="E13" s="344">
        <f t="shared" si="2"/>
        <v>35000.00000000001</v>
      </c>
      <c r="F13" s="344"/>
      <c r="G13" s="344"/>
    </row>
    <row r="14" spans="1:8" ht="15">
      <c r="A14" s="345" t="s">
        <v>17</v>
      </c>
      <c r="B14" s="346">
        <v>90</v>
      </c>
      <c r="C14" s="347">
        <f t="shared" si="0"/>
        <v>1987500</v>
      </c>
      <c r="D14" s="348">
        <f t="shared" si="1"/>
        <v>12500</v>
      </c>
      <c r="E14" s="349">
        <f t="shared" si="2"/>
        <v>34781.25000000001</v>
      </c>
      <c r="F14" s="349"/>
      <c r="G14" s="349"/>
      <c r="H14" s="14">
        <v>50000</v>
      </c>
    </row>
    <row r="15" spans="1:7" ht="15">
      <c r="A15" s="345" t="s">
        <v>18</v>
      </c>
      <c r="B15" s="346">
        <v>90</v>
      </c>
      <c r="C15" s="347">
        <f t="shared" si="0"/>
        <v>1975000</v>
      </c>
      <c r="D15" s="348">
        <f t="shared" si="1"/>
        <v>12500</v>
      </c>
      <c r="E15" s="349">
        <f t="shared" si="2"/>
        <v>34562.50000000001</v>
      </c>
      <c r="F15" s="349"/>
      <c r="G15" s="349"/>
    </row>
    <row r="16" spans="1:7" ht="15.75" thickBot="1">
      <c r="A16" s="350" t="s">
        <v>19</v>
      </c>
      <c r="B16" s="351">
        <v>90</v>
      </c>
      <c r="C16" s="352">
        <f t="shared" si="0"/>
        <v>1962500</v>
      </c>
      <c r="D16" s="353">
        <f t="shared" si="1"/>
        <v>12500</v>
      </c>
      <c r="E16" s="354">
        <f>B16*C16*0.07/360</f>
        <v>34343.75000000001</v>
      </c>
      <c r="F16" s="354">
        <f>SUM(D13:D16)</f>
        <v>50000</v>
      </c>
      <c r="G16" s="354">
        <v>166688</v>
      </c>
    </row>
    <row r="17" spans="1:7" ht="15">
      <c r="A17" s="340" t="s">
        <v>20</v>
      </c>
      <c r="B17" s="341">
        <v>90</v>
      </c>
      <c r="C17" s="342">
        <f t="shared" si="0"/>
        <v>1950000</v>
      </c>
      <c r="D17" s="343">
        <f t="shared" si="1"/>
        <v>12500</v>
      </c>
      <c r="E17" s="344">
        <f t="shared" si="2"/>
        <v>34125.00000000001</v>
      </c>
      <c r="F17" s="344"/>
      <c r="G17" s="344"/>
    </row>
    <row r="18" spans="1:8" ht="15">
      <c r="A18" s="345" t="s">
        <v>21</v>
      </c>
      <c r="B18" s="346">
        <v>90</v>
      </c>
      <c r="C18" s="347">
        <f t="shared" si="0"/>
        <v>1937500</v>
      </c>
      <c r="D18" s="348">
        <f t="shared" si="1"/>
        <v>12500</v>
      </c>
      <c r="E18" s="349">
        <f t="shared" si="2"/>
        <v>33906.25000000001</v>
      </c>
      <c r="F18" s="349"/>
      <c r="G18" s="349"/>
      <c r="H18" s="14">
        <v>50000</v>
      </c>
    </row>
    <row r="19" spans="1:8" s="17" customFormat="1" ht="15">
      <c r="A19" s="355" t="s">
        <v>22</v>
      </c>
      <c r="B19" s="356">
        <v>90</v>
      </c>
      <c r="C19" s="347">
        <f t="shared" si="0"/>
        <v>1925000</v>
      </c>
      <c r="D19" s="348">
        <f t="shared" si="1"/>
        <v>12500</v>
      </c>
      <c r="E19" s="349">
        <f t="shared" si="2"/>
        <v>33687.50000000001</v>
      </c>
      <c r="F19" s="357"/>
      <c r="G19" s="357"/>
      <c r="H19" s="16"/>
    </row>
    <row r="20" spans="1:7" s="17" customFormat="1" ht="15.75" thickBot="1">
      <c r="A20" s="361" t="s">
        <v>23</v>
      </c>
      <c r="B20" s="362">
        <v>90</v>
      </c>
      <c r="C20" s="363">
        <f t="shared" si="0"/>
        <v>1912500</v>
      </c>
      <c r="D20" s="364">
        <f t="shared" si="1"/>
        <v>12500</v>
      </c>
      <c r="E20" s="365">
        <f t="shared" si="2"/>
        <v>33468.75000000001</v>
      </c>
      <c r="F20" s="366">
        <f>SUM(D17:D20)</f>
        <v>50000</v>
      </c>
      <c r="G20" s="366">
        <v>163188</v>
      </c>
    </row>
    <row r="21" spans="1:7" ht="15">
      <c r="A21" s="340" t="s">
        <v>24</v>
      </c>
      <c r="B21" s="341">
        <v>90</v>
      </c>
      <c r="C21" s="342">
        <f t="shared" si="0"/>
        <v>1900000</v>
      </c>
      <c r="D21" s="343">
        <f t="shared" si="1"/>
        <v>12500</v>
      </c>
      <c r="E21" s="344">
        <f t="shared" si="2"/>
        <v>33250.00000000001</v>
      </c>
      <c r="F21" s="344"/>
      <c r="G21" s="344"/>
    </row>
    <row r="22" spans="1:8" ht="15">
      <c r="A22" s="345" t="s">
        <v>25</v>
      </c>
      <c r="B22" s="346">
        <v>90</v>
      </c>
      <c r="C22" s="347">
        <f t="shared" si="0"/>
        <v>1887500</v>
      </c>
      <c r="D22" s="348">
        <f t="shared" si="1"/>
        <v>12500</v>
      </c>
      <c r="E22" s="349">
        <f t="shared" si="2"/>
        <v>33031.25000000001</v>
      </c>
      <c r="F22" s="349"/>
      <c r="G22" s="349"/>
      <c r="H22" s="14">
        <v>50000</v>
      </c>
    </row>
    <row r="23" spans="1:7" ht="15">
      <c r="A23" s="345" t="s">
        <v>26</v>
      </c>
      <c r="B23" s="346">
        <v>90</v>
      </c>
      <c r="C23" s="347">
        <f t="shared" si="0"/>
        <v>1875000</v>
      </c>
      <c r="D23" s="348">
        <f t="shared" si="1"/>
        <v>12500</v>
      </c>
      <c r="E23" s="349">
        <f t="shared" si="2"/>
        <v>32812.50000000001</v>
      </c>
      <c r="F23" s="349"/>
      <c r="G23" s="349"/>
    </row>
    <row r="24" spans="1:7" ht="15.75" thickBot="1">
      <c r="A24" s="350" t="s">
        <v>27</v>
      </c>
      <c r="B24" s="351">
        <v>90</v>
      </c>
      <c r="C24" s="352">
        <f t="shared" si="0"/>
        <v>1862500</v>
      </c>
      <c r="D24" s="353">
        <f t="shared" si="1"/>
        <v>12500</v>
      </c>
      <c r="E24" s="354">
        <f t="shared" si="2"/>
        <v>32593.750000000004</v>
      </c>
      <c r="F24" s="354">
        <f>SUM(D21:D24)</f>
        <v>50000</v>
      </c>
      <c r="G24" s="354">
        <v>159688</v>
      </c>
    </row>
    <row r="25" spans="1:7" s="17" customFormat="1" ht="15">
      <c r="A25" s="367" t="s">
        <v>28</v>
      </c>
      <c r="B25" s="368">
        <v>90</v>
      </c>
      <c r="C25" s="369">
        <f t="shared" si="0"/>
        <v>1850000</v>
      </c>
      <c r="D25" s="343">
        <f t="shared" si="1"/>
        <v>12500</v>
      </c>
      <c r="E25" s="344">
        <f t="shared" si="2"/>
        <v>32375.000000000004</v>
      </c>
      <c r="F25" s="370"/>
      <c r="G25" s="370"/>
    </row>
    <row r="26" spans="1:8" s="17" customFormat="1" ht="15">
      <c r="A26" s="355" t="s">
        <v>29</v>
      </c>
      <c r="B26" s="356">
        <v>90</v>
      </c>
      <c r="C26" s="371">
        <f t="shared" si="0"/>
        <v>1837500</v>
      </c>
      <c r="D26" s="348"/>
      <c r="E26" s="349">
        <f t="shared" si="2"/>
        <v>32156.250000000004</v>
      </c>
      <c r="F26" s="357"/>
      <c r="G26" s="357"/>
      <c r="H26" s="18">
        <f>SUM(D25:D28)</f>
        <v>25000</v>
      </c>
    </row>
    <row r="27" spans="1:7" s="17" customFormat="1" ht="15">
      <c r="A27" s="355" t="s">
        <v>30</v>
      </c>
      <c r="B27" s="356">
        <v>90</v>
      </c>
      <c r="C27" s="371">
        <f t="shared" si="0"/>
        <v>1837500</v>
      </c>
      <c r="D27" s="348">
        <v>12500</v>
      </c>
      <c r="E27" s="349">
        <f t="shared" si="2"/>
        <v>32156.250000000004</v>
      </c>
      <c r="F27" s="357"/>
      <c r="G27" s="357"/>
    </row>
    <row r="28" spans="1:7" s="17" customFormat="1" ht="15.75" thickBot="1">
      <c r="A28" s="358" t="s">
        <v>31</v>
      </c>
      <c r="B28" s="359">
        <v>90</v>
      </c>
      <c r="C28" s="372">
        <f t="shared" si="0"/>
        <v>1825000</v>
      </c>
      <c r="D28" s="353"/>
      <c r="E28" s="354">
        <f t="shared" si="2"/>
        <v>31937.500000000004</v>
      </c>
      <c r="F28" s="360">
        <f>SUM(D25:D28)</f>
        <v>25000</v>
      </c>
      <c r="G28" s="360">
        <f>SUM(E25:E28)</f>
        <v>128625.00000000001</v>
      </c>
    </row>
    <row r="29" spans="1:8" ht="15">
      <c r="A29" s="340" t="s">
        <v>32</v>
      </c>
      <c r="B29" s="341">
        <v>90</v>
      </c>
      <c r="C29" s="342">
        <f t="shared" si="0"/>
        <v>1825000</v>
      </c>
      <c r="D29" s="343">
        <v>12500</v>
      </c>
      <c r="E29" s="344">
        <f t="shared" si="2"/>
        <v>31937.500000000004</v>
      </c>
      <c r="F29" s="344"/>
      <c r="G29" s="344"/>
      <c r="H29" s="338">
        <f>C29/12</f>
        <v>152083.33333333334</v>
      </c>
    </row>
    <row r="30" spans="1:8" ht="15">
      <c r="A30" s="345" t="s">
        <v>33</v>
      </c>
      <c r="B30" s="346">
        <v>90</v>
      </c>
      <c r="C30" s="347">
        <f t="shared" si="0"/>
        <v>1812500</v>
      </c>
      <c r="D30" s="348">
        <v>12500</v>
      </c>
      <c r="E30" s="349">
        <f t="shared" si="2"/>
        <v>31718.750000000004</v>
      </c>
      <c r="F30" s="349"/>
      <c r="G30" s="349"/>
      <c r="H30" s="14">
        <f>SUM(D29:D32)</f>
        <v>50528</v>
      </c>
    </row>
    <row r="31" spans="1:7" ht="15">
      <c r="A31" s="345" t="s">
        <v>34</v>
      </c>
      <c r="B31" s="346">
        <v>90</v>
      </c>
      <c r="C31" s="347">
        <f t="shared" si="0"/>
        <v>1800000</v>
      </c>
      <c r="D31" s="348">
        <v>13028</v>
      </c>
      <c r="E31" s="349">
        <f t="shared" si="2"/>
        <v>31500.000000000004</v>
      </c>
      <c r="F31" s="349"/>
      <c r="G31" s="349"/>
    </row>
    <row r="32" spans="1:7" ht="15.75" thickBot="1">
      <c r="A32" s="350" t="s">
        <v>35</v>
      </c>
      <c r="B32" s="351">
        <v>90</v>
      </c>
      <c r="C32" s="352">
        <f t="shared" si="0"/>
        <v>1786972</v>
      </c>
      <c r="D32" s="353">
        <v>12500</v>
      </c>
      <c r="E32" s="354">
        <f t="shared" si="2"/>
        <v>31272.010000000006</v>
      </c>
      <c r="F32" s="354">
        <f>SUM(D29:D32)</f>
        <v>50528</v>
      </c>
      <c r="G32" s="354">
        <f>SUM(E29:E32)</f>
        <v>126428.26000000002</v>
      </c>
    </row>
    <row r="33" spans="1:7" s="17" customFormat="1" ht="15">
      <c r="A33" s="367" t="s">
        <v>36</v>
      </c>
      <c r="B33" s="368">
        <v>90</v>
      </c>
      <c r="C33" s="369">
        <f t="shared" si="0"/>
        <v>1774472</v>
      </c>
      <c r="D33" s="373">
        <v>150000</v>
      </c>
      <c r="E33" s="370">
        <f t="shared" si="2"/>
        <v>31053.260000000006</v>
      </c>
      <c r="F33" s="370"/>
      <c r="G33" s="370"/>
    </row>
    <row r="34" spans="1:8" s="17" customFormat="1" ht="15">
      <c r="A34" s="355" t="s">
        <v>37</v>
      </c>
      <c r="B34" s="356">
        <v>90</v>
      </c>
      <c r="C34" s="371">
        <f t="shared" si="0"/>
        <v>1624472</v>
      </c>
      <c r="D34" s="374">
        <f>D33</f>
        <v>150000</v>
      </c>
      <c r="E34" s="357">
        <f t="shared" si="2"/>
        <v>28428.260000000006</v>
      </c>
      <c r="F34" s="357"/>
      <c r="G34" s="357"/>
      <c r="H34" s="18">
        <f>SUM(D33:D36)</f>
        <v>750523</v>
      </c>
    </row>
    <row r="35" spans="1:7" s="17" customFormat="1" ht="15">
      <c r="A35" s="355" t="s">
        <v>38</v>
      </c>
      <c r="B35" s="356">
        <v>90</v>
      </c>
      <c r="C35" s="371">
        <f t="shared" si="0"/>
        <v>1474472</v>
      </c>
      <c r="D35" s="374">
        <v>225000</v>
      </c>
      <c r="E35" s="357">
        <f t="shared" si="2"/>
        <v>25803.260000000006</v>
      </c>
      <c r="F35" s="357"/>
      <c r="G35" s="357"/>
    </row>
    <row r="36" spans="1:7" s="17" customFormat="1" ht="15.75" thickBot="1">
      <c r="A36" s="361" t="s">
        <v>39</v>
      </c>
      <c r="B36" s="362">
        <v>90</v>
      </c>
      <c r="C36" s="376">
        <f t="shared" si="0"/>
        <v>1249472</v>
      </c>
      <c r="D36" s="377">
        <v>225523</v>
      </c>
      <c r="E36" s="366">
        <f t="shared" si="2"/>
        <v>21865.760000000002</v>
      </c>
      <c r="F36" s="366">
        <f>SUM(D33:D36)</f>
        <v>750523</v>
      </c>
      <c r="G36" s="366">
        <f>SUM(E33:E36)</f>
        <v>107150.54000000001</v>
      </c>
    </row>
    <row r="37" spans="1:7" ht="15">
      <c r="A37" s="340" t="s">
        <v>40</v>
      </c>
      <c r="B37" s="341">
        <v>90</v>
      </c>
      <c r="C37" s="342">
        <f t="shared" si="0"/>
        <v>1023949</v>
      </c>
      <c r="D37" s="373">
        <v>150000</v>
      </c>
      <c r="E37" s="344">
        <f>B37*C37*0.07/360</f>
        <v>17919.107500000002</v>
      </c>
      <c r="F37" s="344"/>
      <c r="G37" s="344"/>
    </row>
    <row r="38" spans="1:8" ht="15">
      <c r="A38" s="345" t="s">
        <v>41</v>
      </c>
      <c r="B38" s="346">
        <v>90</v>
      </c>
      <c r="C38" s="347">
        <f t="shared" si="0"/>
        <v>873949</v>
      </c>
      <c r="D38" s="374">
        <v>150000</v>
      </c>
      <c r="E38" s="349">
        <f t="shared" si="2"/>
        <v>15294.1075</v>
      </c>
      <c r="F38" s="349"/>
      <c r="G38" s="349"/>
      <c r="H38" s="14">
        <f>SUM(D37:D40)</f>
        <v>600000</v>
      </c>
    </row>
    <row r="39" spans="1:7" ht="15">
      <c r="A39" s="345" t="s">
        <v>42</v>
      </c>
      <c r="B39" s="346">
        <v>90</v>
      </c>
      <c r="C39" s="347">
        <f t="shared" si="0"/>
        <v>723949</v>
      </c>
      <c r="D39" s="374">
        <v>150000</v>
      </c>
      <c r="E39" s="349">
        <f t="shared" si="2"/>
        <v>12669.1075</v>
      </c>
      <c r="F39" s="349"/>
      <c r="G39" s="349"/>
    </row>
    <row r="40" spans="1:7" ht="15.75" thickBot="1">
      <c r="A40" s="350" t="s">
        <v>43</v>
      </c>
      <c r="B40" s="351">
        <v>90</v>
      </c>
      <c r="C40" s="352">
        <f>C39-D39</f>
        <v>573949</v>
      </c>
      <c r="D40" s="375">
        <f>D39</f>
        <v>150000</v>
      </c>
      <c r="E40" s="354">
        <f t="shared" si="2"/>
        <v>10044.1075</v>
      </c>
      <c r="F40" s="354">
        <f>SUM(D37:D40)</f>
        <v>600000</v>
      </c>
      <c r="G40" s="354">
        <f>SUM(E37:E40)</f>
        <v>55926.43</v>
      </c>
    </row>
    <row r="41" spans="1:7" ht="15">
      <c r="A41" s="340" t="s">
        <v>44</v>
      </c>
      <c r="B41" s="341">
        <v>90</v>
      </c>
      <c r="C41" s="342">
        <f>C40-D40</f>
        <v>423949</v>
      </c>
      <c r="D41" s="373">
        <v>100000</v>
      </c>
      <c r="E41" s="344">
        <f>B41*C41*0.07/360</f>
        <v>7419.1075</v>
      </c>
      <c r="F41" s="344"/>
      <c r="G41" s="344"/>
    </row>
    <row r="42" spans="1:8" ht="15">
      <c r="A42" s="345" t="s">
        <v>45</v>
      </c>
      <c r="B42" s="346">
        <v>90</v>
      </c>
      <c r="C42" s="347">
        <f>C41-D41</f>
        <v>323949</v>
      </c>
      <c r="D42" s="374">
        <v>100000</v>
      </c>
      <c r="E42" s="349">
        <f>B42*C42*0.07/360</f>
        <v>5669.1075</v>
      </c>
      <c r="F42" s="349"/>
      <c r="G42" s="349"/>
      <c r="H42" s="14">
        <f>SUM(D41:D44)</f>
        <v>423949</v>
      </c>
    </row>
    <row r="43" spans="1:7" ht="15">
      <c r="A43" s="345" t="s">
        <v>46</v>
      </c>
      <c r="B43" s="346">
        <v>90</v>
      </c>
      <c r="C43" s="347">
        <f>C42-D42</f>
        <v>223949</v>
      </c>
      <c r="D43" s="374">
        <v>123949</v>
      </c>
      <c r="E43" s="349">
        <f>B43*C43*0.07/360</f>
        <v>3919.1075000000005</v>
      </c>
      <c r="F43" s="349"/>
      <c r="G43" s="349"/>
    </row>
    <row r="44" spans="1:7" ht="15.75" thickBot="1">
      <c r="A44" s="350" t="s">
        <v>47</v>
      </c>
      <c r="B44" s="351">
        <v>90</v>
      </c>
      <c r="C44" s="352">
        <f>C43-D43</f>
        <v>100000</v>
      </c>
      <c r="D44" s="375">
        <v>100000</v>
      </c>
      <c r="E44" s="354">
        <f>B44*C44*0.07/360</f>
        <v>1750.0000000000002</v>
      </c>
      <c r="F44" s="354">
        <f>SUM(D41:D44)</f>
        <v>423949</v>
      </c>
      <c r="G44" s="354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6">
      <selection activeCell="K46" sqref="K46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</cols>
  <sheetData>
    <row r="1" spans="1:11" ht="26.25" customHeight="1">
      <c r="A1" s="560" t="s">
        <v>231</v>
      </c>
      <c r="B1" s="560"/>
      <c r="C1" s="560"/>
      <c r="D1" s="560"/>
      <c r="E1" s="560"/>
      <c r="F1" s="560"/>
      <c r="G1" s="567"/>
      <c r="H1" s="563" t="s">
        <v>236</v>
      </c>
      <c r="I1" s="565" t="s">
        <v>235</v>
      </c>
      <c r="J1" s="561" t="s">
        <v>233</v>
      </c>
      <c r="K1" s="562"/>
    </row>
    <row r="2" spans="1:11" ht="24" customHeight="1" thickBot="1">
      <c r="A2" s="568"/>
      <c r="B2" s="568"/>
      <c r="C2" s="568"/>
      <c r="D2" s="568"/>
      <c r="E2" s="568"/>
      <c r="F2" s="568"/>
      <c r="G2" s="569"/>
      <c r="H2" s="564"/>
      <c r="I2" s="566"/>
      <c r="J2" s="417" t="s">
        <v>237</v>
      </c>
      <c r="K2" s="418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378" t="s">
        <v>5</v>
      </c>
      <c r="H3" s="388"/>
      <c r="I3" s="388"/>
      <c r="J3" s="419"/>
      <c r="K3" s="419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379"/>
      <c r="H4" s="389">
        <v>2000000</v>
      </c>
      <c r="I4" s="389">
        <v>1265000</v>
      </c>
      <c r="J4" s="409">
        <f>H4+F4</f>
        <v>2000000</v>
      </c>
      <c r="K4" s="409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339">
        <f>B5*C5*5.5%/360</f>
        <v>158125</v>
      </c>
      <c r="F5" s="339">
        <v>0</v>
      </c>
      <c r="G5" s="380">
        <f>E4+E5</f>
        <v>158125</v>
      </c>
      <c r="H5" s="388"/>
      <c r="I5" s="388"/>
      <c r="J5" s="419"/>
      <c r="K5" s="419"/>
    </row>
    <row r="6" spans="1:11" s="2" customFormat="1" ht="15">
      <c r="A6" s="340" t="s">
        <v>8</v>
      </c>
      <c r="B6" s="341">
        <v>90</v>
      </c>
      <c r="C6" s="342">
        <f aca="true" t="shared" si="0" ref="C6:C40">C5-D5</f>
        <v>11500000</v>
      </c>
      <c r="D6" s="343"/>
      <c r="E6" s="344">
        <f>B6*C6*0.07/360</f>
        <v>201250</v>
      </c>
      <c r="F6" s="344"/>
      <c r="G6" s="381"/>
      <c r="H6" s="390"/>
      <c r="I6" s="390"/>
      <c r="J6" s="420"/>
      <c r="K6" s="420"/>
    </row>
    <row r="7" spans="1:11" ht="15">
      <c r="A7" s="345" t="s">
        <v>9</v>
      </c>
      <c r="B7" s="346">
        <v>90</v>
      </c>
      <c r="C7" s="347">
        <f t="shared" si="0"/>
        <v>11500000</v>
      </c>
      <c r="D7" s="348"/>
      <c r="E7" s="349">
        <f>B7*C7*0.07/360</f>
        <v>201250</v>
      </c>
      <c r="F7" s="349"/>
      <c r="G7" s="382"/>
      <c r="H7" s="389">
        <f>SUM(D6:D9)</f>
        <v>0</v>
      </c>
      <c r="I7" s="388"/>
      <c r="J7" s="419"/>
      <c r="K7" s="419"/>
    </row>
    <row r="8" spans="1:11" ht="15">
      <c r="A8" s="345" t="s">
        <v>10</v>
      </c>
      <c r="B8" s="346">
        <v>90</v>
      </c>
      <c r="C8" s="347">
        <f t="shared" si="0"/>
        <v>11500000</v>
      </c>
      <c r="D8" s="348"/>
      <c r="E8" s="349">
        <f aca="true" t="shared" si="1" ref="E8:E41">B8*C8*0.07/360</f>
        <v>201250</v>
      </c>
      <c r="F8" s="349"/>
      <c r="G8" s="382"/>
      <c r="H8" s="388"/>
      <c r="I8" s="388"/>
      <c r="J8" s="419"/>
      <c r="K8" s="419"/>
    </row>
    <row r="9" spans="1:11" ht="15.75" thickBot="1">
      <c r="A9" s="350" t="s">
        <v>11</v>
      </c>
      <c r="B9" s="351">
        <v>90</v>
      </c>
      <c r="C9" s="352">
        <f t="shared" si="0"/>
        <v>11500000</v>
      </c>
      <c r="D9" s="353"/>
      <c r="E9" s="354">
        <f t="shared" si="1"/>
        <v>201250</v>
      </c>
      <c r="F9" s="354">
        <f>D7+D8+D9+D6</f>
        <v>0</v>
      </c>
      <c r="G9" s="383">
        <f>SUM(E6:E9)</f>
        <v>805000</v>
      </c>
      <c r="H9" s="389">
        <v>3000000</v>
      </c>
      <c r="I9" s="389">
        <v>1155000</v>
      </c>
      <c r="J9" s="409">
        <f>H9+F9</f>
        <v>3000000</v>
      </c>
      <c r="K9" s="409">
        <f>I9+G9</f>
        <v>1960000</v>
      </c>
    </row>
    <row r="10" spans="1:11" ht="15">
      <c r="A10" s="340" t="s">
        <v>12</v>
      </c>
      <c r="B10" s="341">
        <v>90</v>
      </c>
      <c r="C10" s="342">
        <f t="shared" si="0"/>
        <v>11500000</v>
      </c>
      <c r="D10" s="343"/>
      <c r="E10" s="344">
        <f t="shared" si="1"/>
        <v>201250</v>
      </c>
      <c r="F10" s="344"/>
      <c r="G10" s="381"/>
      <c r="H10" s="388"/>
      <c r="I10" s="388"/>
      <c r="J10" s="409">
        <f aca="true" t="shared" si="2" ref="J10:J45">H10+F10</f>
        <v>0</v>
      </c>
      <c r="K10" s="409">
        <f aca="true" t="shared" si="3" ref="K10:K45">I10+G10</f>
        <v>0</v>
      </c>
    </row>
    <row r="11" spans="1:11" ht="15">
      <c r="A11" s="345" t="s">
        <v>13</v>
      </c>
      <c r="B11" s="346">
        <v>90</v>
      </c>
      <c r="C11" s="347">
        <f t="shared" si="0"/>
        <v>11500000</v>
      </c>
      <c r="D11" s="348"/>
      <c r="E11" s="349">
        <f t="shared" si="1"/>
        <v>201250</v>
      </c>
      <c r="F11" s="349"/>
      <c r="G11" s="382"/>
      <c r="H11" s="389"/>
      <c r="I11" s="388"/>
      <c r="J11" s="409">
        <f t="shared" si="2"/>
        <v>0</v>
      </c>
      <c r="K11" s="409">
        <f t="shared" si="3"/>
        <v>0</v>
      </c>
    </row>
    <row r="12" spans="1:11" ht="15">
      <c r="A12" s="345" t="s">
        <v>14</v>
      </c>
      <c r="B12" s="346">
        <v>90</v>
      </c>
      <c r="C12" s="347">
        <f t="shared" si="0"/>
        <v>11500000</v>
      </c>
      <c r="D12" s="348"/>
      <c r="E12" s="349">
        <f t="shared" si="1"/>
        <v>201250</v>
      </c>
      <c r="F12" s="349"/>
      <c r="G12" s="382"/>
      <c r="H12" s="388"/>
      <c r="I12" s="388"/>
      <c r="J12" s="409">
        <f t="shared" si="2"/>
        <v>0</v>
      </c>
      <c r="K12" s="409">
        <f t="shared" si="3"/>
        <v>0</v>
      </c>
    </row>
    <row r="13" spans="1:11" ht="15.75" thickBot="1">
      <c r="A13" s="350" t="s">
        <v>15</v>
      </c>
      <c r="B13" s="351">
        <v>90</v>
      </c>
      <c r="C13" s="352">
        <f t="shared" si="0"/>
        <v>11500000</v>
      </c>
      <c r="D13" s="353"/>
      <c r="E13" s="354">
        <f t="shared" si="1"/>
        <v>201250</v>
      </c>
      <c r="F13" s="354">
        <f>SUM(D10:D13)</f>
        <v>0</v>
      </c>
      <c r="G13" s="383">
        <f>SUM(E10:E13)</f>
        <v>805000</v>
      </c>
      <c r="H13" s="389">
        <v>3000000</v>
      </c>
      <c r="I13" s="389">
        <v>990000</v>
      </c>
      <c r="J13" s="409">
        <f t="shared" si="2"/>
        <v>3000000</v>
      </c>
      <c r="K13" s="409">
        <f t="shared" si="3"/>
        <v>1795000</v>
      </c>
    </row>
    <row r="14" spans="1:11" ht="15">
      <c r="A14" s="340" t="s">
        <v>16</v>
      </c>
      <c r="B14" s="341">
        <v>90</v>
      </c>
      <c r="C14" s="342">
        <f t="shared" si="0"/>
        <v>11500000</v>
      </c>
      <c r="D14" s="343"/>
      <c r="E14" s="344">
        <f t="shared" si="1"/>
        <v>201250</v>
      </c>
      <c r="F14" s="344"/>
      <c r="G14" s="381"/>
      <c r="H14" s="388"/>
      <c r="I14" s="389"/>
      <c r="J14" s="409">
        <f t="shared" si="2"/>
        <v>0</v>
      </c>
      <c r="K14" s="409">
        <f t="shared" si="3"/>
        <v>0</v>
      </c>
    </row>
    <row r="15" spans="1:11" ht="15">
      <c r="A15" s="345" t="s">
        <v>17</v>
      </c>
      <c r="B15" s="346">
        <v>90</v>
      </c>
      <c r="C15" s="347">
        <f t="shared" si="0"/>
        <v>11500000</v>
      </c>
      <c r="D15" s="348"/>
      <c r="E15" s="349">
        <f t="shared" si="1"/>
        <v>201250</v>
      </c>
      <c r="F15" s="349"/>
      <c r="G15" s="382"/>
      <c r="H15" s="389"/>
      <c r="I15" s="388"/>
      <c r="J15" s="409">
        <f t="shared" si="2"/>
        <v>0</v>
      </c>
      <c r="K15" s="409">
        <f t="shared" si="3"/>
        <v>0</v>
      </c>
    </row>
    <row r="16" spans="1:11" ht="15">
      <c r="A16" s="345" t="s">
        <v>18</v>
      </c>
      <c r="B16" s="346">
        <v>90</v>
      </c>
      <c r="C16" s="347">
        <f t="shared" si="0"/>
        <v>11500000</v>
      </c>
      <c r="D16" s="348"/>
      <c r="E16" s="349">
        <f t="shared" si="1"/>
        <v>201250</v>
      </c>
      <c r="F16" s="349"/>
      <c r="G16" s="382"/>
      <c r="H16" s="388"/>
      <c r="I16" s="388"/>
      <c r="J16" s="409">
        <f t="shared" si="2"/>
        <v>0</v>
      </c>
      <c r="K16" s="409">
        <f t="shared" si="3"/>
        <v>0</v>
      </c>
    </row>
    <row r="17" spans="1:11" ht="15.75" thickBot="1">
      <c r="A17" s="350" t="s">
        <v>19</v>
      </c>
      <c r="B17" s="351">
        <v>90</v>
      </c>
      <c r="C17" s="352">
        <f t="shared" si="0"/>
        <v>11500000</v>
      </c>
      <c r="D17" s="353"/>
      <c r="E17" s="354">
        <f t="shared" si="1"/>
        <v>201250</v>
      </c>
      <c r="F17" s="354">
        <f>SUM(D14:D17)</f>
        <v>0</v>
      </c>
      <c r="G17" s="383">
        <f>SUM(E14:E17)</f>
        <v>805000</v>
      </c>
      <c r="H17" s="389">
        <v>3000000</v>
      </c>
      <c r="I17" s="389">
        <v>825000</v>
      </c>
      <c r="J17" s="409">
        <f t="shared" si="2"/>
        <v>3000000</v>
      </c>
      <c r="K17" s="409">
        <f t="shared" si="3"/>
        <v>1630000</v>
      </c>
    </row>
    <row r="18" spans="1:30" ht="15">
      <c r="A18" s="340" t="s">
        <v>20</v>
      </c>
      <c r="B18" s="341">
        <v>90</v>
      </c>
      <c r="C18" s="342">
        <f t="shared" si="0"/>
        <v>11500000</v>
      </c>
      <c r="D18" s="343"/>
      <c r="E18" s="344">
        <f t="shared" si="1"/>
        <v>201250</v>
      </c>
      <c r="F18" s="344"/>
      <c r="G18" s="381"/>
      <c r="H18" s="388"/>
      <c r="I18" s="388"/>
      <c r="J18" s="409">
        <f t="shared" si="2"/>
        <v>0</v>
      </c>
      <c r="K18" s="409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345" t="s">
        <v>21</v>
      </c>
      <c r="B19" s="346">
        <v>90</v>
      </c>
      <c r="C19" s="347">
        <f t="shared" si="0"/>
        <v>11500000</v>
      </c>
      <c r="D19" s="348"/>
      <c r="E19" s="349">
        <f t="shared" si="1"/>
        <v>201250</v>
      </c>
      <c r="F19" s="349"/>
      <c r="G19" s="382"/>
      <c r="H19" s="389"/>
      <c r="I19" s="388"/>
      <c r="J19" s="409">
        <f t="shared" si="2"/>
        <v>0</v>
      </c>
      <c r="K19" s="409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355" t="s">
        <v>22</v>
      </c>
      <c r="B20" s="356">
        <v>90</v>
      </c>
      <c r="C20" s="347">
        <f t="shared" si="0"/>
        <v>11500000</v>
      </c>
      <c r="D20" s="348"/>
      <c r="E20" s="349">
        <f t="shared" si="1"/>
        <v>201250</v>
      </c>
      <c r="F20" s="357"/>
      <c r="G20" s="384"/>
      <c r="H20" s="391"/>
      <c r="I20" s="392"/>
      <c r="J20" s="409">
        <f t="shared" si="2"/>
        <v>0</v>
      </c>
      <c r="K20" s="409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358" t="s">
        <v>23</v>
      </c>
      <c r="B21" s="359">
        <v>90</v>
      </c>
      <c r="C21" s="352">
        <f t="shared" si="0"/>
        <v>11500000</v>
      </c>
      <c r="D21" s="353"/>
      <c r="E21" s="354">
        <f t="shared" si="1"/>
        <v>201250</v>
      </c>
      <c r="F21" s="360">
        <f>SUM(D18:D21)</f>
        <v>0</v>
      </c>
      <c r="G21" s="385">
        <f>SUM(E18:E21)</f>
        <v>805000</v>
      </c>
      <c r="H21" s="389">
        <v>3000000</v>
      </c>
      <c r="I21" s="393">
        <v>660000</v>
      </c>
      <c r="J21" s="409">
        <f t="shared" si="2"/>
        <v>3000000</v>
      </c>
      <c r="K21" s="409">
        <f t="shared" si="3"/>
        <v>1465000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340" t="s">
        <v>24</v>
      </c>
      <c r="B22" s="341">
        <v>90</v>
      </c>
      <c r="C22" s="342">
        <f t="shared" si="0"/>
        <v>11500000</v>
      </c>
      <c r="D22" s="343"/>
      <c r="E22" s="344">
        <f t="shared" si="1"/>
        <v>201250</v>
      </c>
      <c r="F22" s="344"/>
      <c r="G22" s="381"/>
      <c r="H22" s="388"/>
      <c r="I22" s="388"/>
      <c r="J22" s="409">
        <f t="shared" si="2"/>
        <v>0</v>
      </c>
      <c r="K22" s="409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345" t="s">
        <v>25</v>
      </c>
      <c r="B23" s="346">
        <v>90</v>
      </c>
      <c r="C23" s="347">
        <f t="shared" si="0"/>
        <v>11500000</v>
      </c>
      <c r="D23" s="348"/>
      <c r="E23" s="349">
        <f t="shared" si="1"/>
        <v>201250</v>
      </c>
      <c r="F23" s="349"/>
      <c r="G23" s="382"/>
      <c r="H23" s="389"/>
      <c r="I23" s="388"/>
      <c r="J23" s="409">
        <f t="shared" si="2"/>
        <v>0</v>
      </c>
      <c r="K23" s="409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345" t="s">
        <v>26</v>
      </c>
      <c r="B24" s="346">
        <v>90</v>
      </c>
      <c r="C24" s="347">
        <f t="shared" si="0"/>
        <v>11500000</v>
      </c>
      <c r="D24" s="348"/>
      <c r="E24" s="349">
        <f t="shared" si="1"/>
        <v>201250</v>
      </c>
      <c r="F24" s="349"/>
      <c r="G24" s="382"/>
      <c r="H24" s="388"/>
      <c r="I24" s="388"/>
      <c r="J24" s="409">
        <f t="shared" si="2"/>
        <v>0</v>
      </c>
      <c r="K24" s="409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350" t="s">
        <v>27</v>
      </c>
      <c r="B25" s="351">
        <v>90</v>
      </c>
      <c r="C25" s="352">
        <f t="shared" si="0"/>
        <v>11500000</v>
      </c>
      <c r="D25" s="353"/>
      <c r="E25" s="354">
        <f t="shared" si="1"/>
        <v>201250</v>
      </c>
      <c r="F25" s="354">
        <f>SUM(D22:D25)</f>
        <v>0</v>
      </c>
      <c r="G25" s="383">
        <f>SUM(E22:E25)</f>
        <v>805000</v>
      </c>
      <c r="H25" s="389">
        <v>3000000</v>
      </c>
      <c r="I25" s="389">
        <v>495000</v>
      </c>
      <c r="J25" s="409">
        <f t="shared" si="2"/>
        <v>3000000</v>
      </c>
      <c r="K25" s="409">
        <f t="shared" si="3"/>
        <v>1300000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367" t="s">
        <v>28</v>
      </c>
      <c r="B26" s="368">
        <v>90</v>
      </c>
      <c r="C26" s="369">
        <f t="shared" si="0"/>
        <v>11500000</v>
      </c>
      <c r="D26" s="343"/>
      <c r="E26" s="344">
        <f t="shared" si="1"/>
        <v>201250</v>
      </c>
      <c r="F26" s="370"/>
      <c r="G26" s="386"/>
      <c r="H26" s="392"/>
      <c r="I26" s="392"/>
      <c r="J26" s="409">
        <f t="shared" si="2"/>
        <v>0</v>
      </c>
      <c r="K26" s="409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355" t="s">
        <v>29</v>
      </c>
      <c r="B27" s="356">
        <v>90</v>
      </c>
      <c r="C27" s="371">
        <f t="shared" si="0"/>
        <v>11500000</v>
      </c>
      <c r="D27" s="348"/>
      <c r="E27" s="349">
        <f t="shared" si="1"/>
        <v>201250</v>
      </c>
      <c r="F27" s="357"/>
      <c r="G27" s="384"/>
      <c r="H27" s="393"/>
      <c r="I27" s="392"/>
      <c r="J27" s="409">
        <f t="shared" si="2"/>
        <v>0</v>
      </c>
      <c r="K27" s="409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355" t="s">
        <v>30</v>
      </c>
      <c r="B28" s="356">
        <v>90</v>
      </c>
      <c r="C28" s="371">
        <f t="shared" si="0"/>
        <v>11500000</v>
      </c>
      <c r="D28" s="348"/>
      <c r="E28" s="349">
        <f t="shared" si="1"/>
        <v>201250</v>
      </c>
      <c r="F28" s="357"/>
      <c r="G28" s="384"/>
      <c r="H28" s="392"/>
      <c r="I28" s="392"/>
      <c r="J28" s="409">
        <f t="shared" si="2"/>
        <v>0</v>
      </c>
      <c r="K28" s="409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361" t="s">
        <v>31</v>
      </c>
      <c r="B29" s="362">
        <v>90</v>
      </c>
      <c r="C29" s="376">
        <f t="shared" si="0"/>
        <v>11500000</v>
      </c>
      <c r="D29" s="364"/>
      <c r="E29" s="365">
        <f t="shared" si="1"/>
        <v>201250</v>
      </c>
      <c r="F29" s="366">
        <f>SUM(D26:D29)</f>
        <v>0</v>
      </c>
      <c r="G29" s="387">
        <f>SUM(E26:E29)</f>
        <v>805000</v>
      </c>
      <c r="H29" s="389">
        <v>3000000</v>
      </c>
      <c r="I29" s="393">
        <v>360000</v>
      </c>
      <c r="J29" s="409">
        <f t="shared" si="2"/>
        <v>3000000</v>
      </c>
      <c r="K29" s="409">
        <f t="shared" si="3"/>
        <v>1165000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340" t="s">
        <v>32</v>
      </c>
      <c r="B30" s="341">
        <v>90</v>
      </c>
      <c r="C30" s="342">
        <f t="shared" si="0"/>
        <v>11500000</v>
      </c>
      <c r="D30" s="343">
        <v>500000</v>
      </c>
      <c r="E30" s="344">
        <f t="shared" si="1"/>
        <v>201250</v>
      </c>
      <c r="F30" s="344"/>
      <c r="G30" s="381"/>
      <c r="H30" s="394"/>
      <c r="I30" s="388"/>
      <c r="J30" s="409">
        <f t="shared" si="2"/>
        <v>0</v>
      </c>
      <c r="K30" s="409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345" t="s">
        <v>33</v>
      </c>
      <c r="B31" s="346">
        <v>90</v>
      </c>
      <c r="C31" s="347">
        <f t="shared" si="0"/>
        <v>11000000</v>
      </c>
      <c r="D31" s="348">
        <v>500000</v>
      </c>
      <c r="E31" s="349">
        <f t="shared" si="1"/>
        <v>192500</v>
      </c>
      <c r="F31" s="349"/>
      <c r="G31" s="382"/>
      <c r="H31" s="389"/>
      <c r="I31" s="388"/>
      <c r="J31" s="409">
        <f t="shared" si="2"/>
        <v>0</v>
      </c>
      <c r="K31" s="409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345" t="s">
        <v>34</v>
      </c>
      <c r="B32" s="346">
        <v>90</v>
      </c>
      <c r="C32" s="347">
        <f t="shared" si="0"/>
        <v>10500000</v>
      </c>
      <c r="D32" s="348">
        <v>500000</v>
      </c>
      <c r="E32" s="349">
        <f t="shared" si="1"/>
        <v>183750.00000000003</v>
      </c>
      <c r="F32" s="349"/>
      <c r="G32" s="382"/>
      <c r="H32" s="388"/>
      <c r="I32" s="388"/>
      <c r="J32" s="409">
        <f t="shared" si="2"/>
        <v>0</v>
      </c>
      <c r="K32" s="409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350" t="s">
        <v>35</v>
      </c>
      <c r="B33" s="351">
        <v>90</v>
      </c>
      <c r="C33" s="352">
        <f t="shared" si="0"/>
        <v>10000000</v>
      </c>
      <c r="D33" s="353">
        <v>500000</v>
      </c>
      <c r="E33" s="354">
        <f t="shared" si="1"/>
        <v>175000.00000000003</v>
      </c>
      <c r="F33" s="354">
        <f>SUM(D30:D33)</f>
        <v>2000000</v>
      </c>
      <c r="G33" s="383">
        <f>SUM(E30:E33)</f>
        <v>752500</v>
      </c>
      <c r="H33" s="389">
        <v>3000000</v>
      </c>
      <c r="I33" s="389">
        <v>180000</v>
      </c>
      <c r="J33" s="409">
        <f t="shared" si="2"/>
        <v>5000000</v>
      </c>
      <c r="K33" s="409">
        <f t="shared" si="3"/>
        <v>932500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367" t="s">
        <v>36</v>
      </c>
      <c r="B34" s="368">
        <v>90</v>
      </c>
      <c r="C34" s="369">
        <f t="shared" si="0"/>
        <v>9500000</v>
      </c>
      <c r="D34" s="373">
        <f>D33</f>
        <v>500000</v>
      </c>
      <c r="E34" s="370">
        <f t="shared" si="1"/>
        <v>166250.00000000003</v>
      </c>
      <c r="F34" s="370"/>
      <c r="G34" s="386"/>
      <c r="H34" s="392"/>
      <c r="I34" s="392"/>
      <c r="J34" s="409">
        <f t="shared" si="2"/>
        <v>0</v>
      </c>
      <c r="K34" s="409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355" t="s">
        <v>37</v>
      </c>
      <c r="B35" s="356">
        <v>90</v>
      </c>
      <c r="C35" s="371">
        <f t="shared" si="0"/>
        <v>9000000</v>
      </c>
      <c r="D35" s="374">
        <f>D34</f>
        <v>500000</v>
      </c>
      <c r="E35" s="357">
        <f t="shared" si="1"/>
        <v>157500.00000000003</v>
      </c>
      <c r="F35" s="357"/>
      <c r="G35" s="384"/>
      <c r="H35" s="393"/>
      <c r="I35" s="392"/>
      <c r="J35" s="409">
        <f t="shared" si="2"/>
        <v>0</v>
      </c>
      <c r="K35" s="409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355" t="s">
        <v>38</v>
      </c>
      <c r="B36" s="356">
        <v>90</v>
      </c>
      <c r="C36" s="371">
        <f t="shared" si="0"/>
        <v>8500000</v>
      </c>
      <c r="D36" s="374">
        <v>750000</v>
      </c>
      <c r="E36" s="357">
        <f t="shared" si="1"/>
        <v>148750.00000000003</v>
      </c>
      <c r="F36" s="357"/>
      <c r="G36" s="384"/>
      <c r="H36" s="392"/>
      <c r="I36" s="392"/>
      <c r="J36" s="409">
        <f t="shared" si="2"/>
        <v>0</v>
      </c>
      <c r="K36" s="409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358" t="s">
        <v>39</v>
      </c>
      <c r="B37" s="359">
        <v>90</v>
      </c>
      <c r="C37" s="372">
        <f t="shared" si="0"/>
        <v>7750000</v>
      </c>
      <c r="D37" s="375">
        <v>950000</v>
      </c>
      <c r="E37" s="360">
        <f t="shared" si="1"/>
        <v>135625.00000000003</v>
      </c>
      <c r="F37" s="360">
        <f>SUM(D34:D37)</f>
        <v>2700000</v>
      </c>
      <c r="G37" s="385">
        <f>SUM(E34:E37)</f>
        <v>608125.0000000001</v>
      </c>
      <c r="H37" s="389"/>
      <c r="I37" s="392"/>
      <c r="J37" s="409">
        <f t="shared" si="2"/>
        <v>2700000</v>
      </c>
      <c r="K37" s="409">
        <f t="shared" si="3"/>
        <v>608125.0000000001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340" t="s">
        <v>40</v>
      </c>
      <c r="B38" s="341">
        <v>90</v>
      </c>
      <c r="C38" s="342">
        <f t="shared" si="0"/>
        <v>6800000</v>
      </c>
      <c r="D38" s="373">
        <v>500000</v>
      </c>
      <c r="E38" s="344">
        <f>B38*C38*0.07/360</f>
        <v>119000.00000000001</v>
      </c>
      <c r="F38" s="344"/>
      <c r="G38" s="381"/>
      <c r="H38" s="388"/>
      <c r="I38" s="388"/>
      <c r="J38" s="409">
        <f t="shared" si="2"/>
        <v>0</v>
      </c>
      <c r="K38" s="409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345" t="s">
        <v>41</v>
      </c>
      <c r="B39" s="346">
        <v>90</v>
      </c>
      <c r="C39" s="347">
        <f t="shared" si="0"/>
        <v>6300000</v>
      </c>
      <c r="D39" s="374">
        <f>D38</f>
        <v>500000</v>
      </c>
      <c r="E39" s="349">
        <f t="shared" si="1"/>
        <v>110250.00000000001</v>
      </c>
      <c r="F39" s="349"/>
      <c r="G39" s="382"/>
      <c r="H39" s="389"/>
      <c r="I39" s="388"/>
      <c r="J39" s="409">
        <f t="shared" si="2"/>
        <v>0</v>
      </c>
      <c r="K39" s="409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345" t="s">
        <v>42</v>
      </c>
      <c r="B40" s="346">
        <v>90</v>
      </c>
      <c r="C40" s="347">
        <f t="shared" si="0"/>
        <v>5800000</v>
      </c>
      <c r="D40" s="374">
        <v>750000</v>
      </c>
      <c r="E40" s="349">
        <f t="shared" si="1"/>
        <v>101500</v>
      </c>
      <c r="F40" s="349"/>
      <c r="G40" s="382"/>
      <c r="H40" s="388"/>
      <c r="I40" s="388"/>
      <c r="J40" s="409">
        <f t="shared" si="2"/>
        <v>0</v>
      </c>
      <c r="K40" s="409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350" t="s">
        <v>43</v>
      </c>
      <c r="B41" s="351">
        <v>90</v>
      </c>
      <c r="C41" s="352">
        <f>C40-D40</f>
        <v>5050000</v>
      </c>
      <c r="D41" s="375">
        <v>950000</v>
      </c>
      <c r="E41" s="354">
        <f t="shared" si="1"/>
        <v>88375.00000000001</v>
      </c>
      <c r="F41" s="354">
        <f>SUM(D38:D41)</f>
        <v>2700000</v>
      </c>
      <c r="G41" s="383">
        <f>SUM(E38:E41)</f>
        <v>419125</v>
      </c>
      <c r="H41" s="389"/>
      <c r="I41" s="388"/>
      <c r="J41" s="409">
        <f t="shared" si="2"/>
        <v>2700000</v>
      </c>
      <c r="K41" s="409">
        <f t="shared" si="3"/>
        <v>419125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340" t="s">
        <v>44</v>
      </c>
      <c r="B42" s="341">
        <v>90</v>
      </c>
      <c r="C42" s="342">
        <f>C41-D41</f>
        <v>4100000</v>
      </c>
      <c r="D42" s="373">
        <v>1100000</v>
      </c>
      <c r="E42" s="344">
        <f>B42*C42*0.07/360</f>
        <v>71750.00000000001</v>
      </c>
      <c r="F42" s="344"/>
      <c r="G42" s="381"/>
      <c r="H42" s="388"/>
      <c r="I42" s="388"/>
      <c r="J42" s="409">
        <f t="shared" si="2"/>
        <v>0</v>
      </c>
      <c r="K42" s="409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345" t="s">
        <v>45</v>
      </c>
      <c r="B43" s="346">
        <v>90</v>
      </c>
      <c r="C43" s="347">
        <f>C42-D42</f>
        <v>3000000</v>
      </c>
      <c r="D43" s="374">
        <v>1000000</v>
      </c>
      <c r="E43" s="349">
        <f>B43*C43*0.07/360</f>
        <v>52500</v>
      </c>
      <c r="F43" s="349"/>
      <c r="G43" s="382"/>
      <c r="H43" s="389"/>
      <c r="I43" s="388"/>
      <c r="J43" s="409">
        <f t="shared" si="2"/>
        <v>0</v>
      </c>
      <c r="K43" s="409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345" t="s">
        <v>46</v>
      </c>
      <c r="B44" s="346">
        <v>90</v>
      </c>
      <c r="C44" s="347">
        <f>C43-D43</f>
        <v>2000000</v>
      </c>
      <c r="D44" s="374">
        <v>1000000</v>
      </c>
      <c r="E44" s="349">
        <f>B44*C44*0.07/360</f>
        <v>35000.00000000001</v>
      </c>
      <c r="F44" s="349"/>
      <c r="G44" s="382"/>
      <c r="H44" s="388"/>
      <c r="I44" s="388"/>
      <c r="J44" s="409">
        <f t="shared" si="2"/>
        <v>0</v>
      </c>
      <c r="K44" s="409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350" t="s">
        <v>47</v>
      </c>
      <c r="B45" s="351">
        <v>90</v>
      </c>
      <c r="C45" s="352">
        <f>C44-D44</f>
        <v>1000000</v>
      </c>
      <c r="D45" s="375">
        <v>1000000</v>
      </c>
      <c r="E45" s="354">
        <f>B45*C45*0.07/360</f>
        <v>17500.000000000004</v>
      </c>
      <c r="F45" s="354">
        <f>SUM(D42:D45)</f>
        <v>4100000</v>
      </c>
      <c r="G45" s="383">
        <f>SUM(E42:E45)</f>
        <v>176750.00000000003</v>
      </c>
      <c r="H45" s="388"/>
      <c r="I45" s="388"/>
      <c r="J45" s="409">
        <f t="shared" si="2"/>
        <v>4100000</v>
      </c>
      <c r="K45" s="409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4:30" ht="12.75">
      <c r="D46" s="14">
        <f>SUM(D6:D45)</f>
        <v>11500000</v>
      </c>
      <c r="F46" s="14">
        <f aca="true" t="shared" si="4" ref="F46:K46">SUM(F9+F13+F17+F21+F25++F29+F33+F37+F41+F45+F4)</f>
        <v>11500000</v>
      </c>
      <c r="G46" s="14">
        <f t="shared" si="4"/>
        <v>6786500</v>
      </c>
      <c r="H46" s="14">
        <f t="shared" si="4"/>
        <v>23000000</v>
      </c>
      <c r="I46" s="14">
        <f t="shared" si="4"/>
        <v>5930000</v>
      </c>
      <c r="J46" s="14">
        <f t="shared" si="4"/>
        <v>34500000</v>
      </c>
      <c r="K46" s="14">
        <f t="shared" si="4"/>
        <v>12716500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6:30" ht="12.75">
      <c r="F47" s="14"/>
      <c r="H47" s="14"/>
      <c r="J47" s="421"/>
      <c r="K47" s="4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2:30" ht="12.75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5">
      <selection activeCell="K47" sqref="K47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60" t="s">
        <v>238</v>
      </c>
      <c r="B1" s="560"/>
      <c r="C1" s="560"/>
      <c r="D1" s="560"/>
      <c r="E1" s="560"/>
      <c r="F1" s="560"/>
      <c r="G1" s="560"/>
    </row>
    <row r="2" spans="1:11" ht="8.25" customHeight="1" thickBot="1">
      <c r="A2" s="20"/>
      <c r="B2" s="21"/>
      <c r="C2" s="22"/>
      <c r="D2" s="22"/>
      <c r="E2" s="22"/>
      <c r="F2" s="22"/>
      <c r="G2" s="22"/>
      <c r="J2" s="570" t="s">
        <v>233</v>
      </c>
      <c r="K2" s="570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423" t="s">
        <v>5</v>
      </c>
      <c r="H3" s="434" t="s">
        <v>232</v>
      </c>
      <c r="I3" s="435" t="s">
        <v>3</v>
      </c>
      <c r="J3" s="408" t="s">
        <v>234</v>
      </c>
      <c r="K3" s="408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424"/>
      <c r="H4" s="436">
        <v>2141585</v>
      </c>
      <c r="I4" s="437">
        <v>733601</v>
      </c>
      <c r="J4" s="409">
        <f>H4+'spł poż'!F8</f>
        <v>2191585</v>
      </c>
      <c r="K4" s="409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425">
        <f>E4+E5</f>
        <v>0</v>
      </c>
      <c r="H5" s="438"/>
      <c r="I5" s="439"/>
      <c r="J5" s="410"/>
      <c r="K5" s="410"/>
    </row>
    <row r="6" spans="1:36" s="2" customFormat="1" ht="15">
      <c r="A6" s="340" t="s">
        <v>8</v>
      </c>
      <c r="B6" s="341">
        <v>90</v>
      </c>
      <c r="C6" s="342">
        <f>C5-D5</f>
        <v>0</v>
      </c>
      <c r="D6" s="342">
        <v>0</v>
      </c>
      <c r="E6" s="396">
        <f>B6*C6*5.5%/360</f>
        <v>0</v>
      </c>
      <c r="F6" s="396"/>
      <c r="G6" s="426"/>
      <c r="H6" s="440"/>
      <c r="I6" s="441"/>
      <c r="J6" s="411"/>
      <c r="K6" s="41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345" t="s">
        <v>9</v>
      </c>
      <c r="B7" s="346">
        <v>90</v>
      </c>
      <c r="C7" s="347">
        <f>C6-D6</f>
        <v>0</v>
      </c>
      <c r="D7" s="347">
        <v>0</v>
      </c>
      <c r="E7" s="397">
        <f>B7*C7*5.5%/360</f>
        <v>0</v>
      </c>
      <c r="F7" s="397"/>
      <c r="G7" s="427"/>
      <c r="H7" s="438"/>
      <c r="I7" s="439"/>
      <c r="J7" s="412"/>
      <c r="K7" s="412"/>
    </row>
    <row r="8" spans="1:11" ht="15">
      <c r="A8" s="345" t="s">
        <v>10</v>
      </c>
      <c r="B8" s="346">
        <v>90</v>
      </c>
      <c r="C8" s="347">
        <f>C7-D7</f>
        <v>0</v>
      </c>
      <c r="D8" s="347">
        <v>0</v>
      </c>
      <c r="E8" s="397">
        <f>B8*C8*5.5%/360</f>
        <v>0</v>
      </c>
      <c r="F8" s="397"/>
      <c r="G8" s="427"/>
      <c r="H8" s="438"/>
      <c r="I8" s="439"/>
      <c r="J8" s="412"/>
      <c r="K8" s="412"/>
    </row>
    <row r="9" spans="1:11" ht="15.75" thickBot="1">
      <c r="A9" s="350" t="s">
        <v>11</v>
      </c>
      <c r="B9" s="351">
        <v>90</v>
      </c>
      <c r="C9" s="352"/>
      <c r="D9" s="352">
        <v>0</v>
      </c>
      <c r="E9" s="398"/>
      <c r="F9" s="399">
        <f>D7+D8+D9</f>
        <v>0</v>
      </c>
      <c r="G9" s="428"/>
      <c r="H9" s="442">
        <v>3485040</v>
      </c>
      <c r="I9" s="443">
        <v>697952</v>
      </c>
      <c r="J9" s="413">
        <f>H9+F9+'spł poż'!F8</f>
        <v>3535040</v>
      </c>
      <c r="K9" s="413">
        <f>I9+G9+'spł poż'!G8</f>
        <v>871640</v>
      </c>
    </row>
    <row r="10" spans="1:11" ht="15">
      <c r="A10" s="340" t="s">
        <v>12</v>
      </c>
      <c r="B10" s="341">
        <v>90</v>
      </c>
      <c r="C10" s="342">
        <f>C9-D9</f>
        <v>0</v>
      </c>
      <c r="D10" s="342"/>
      <c r="E10" s="396">
        <f>B10*C10*0.07/360</f>
        <v>0</v>
      </c>
      <c r="F10" s="396"/>
      <c r="G10" s="426"/>
      <c r="H10" s="438"/>
      <c r="I10" s="439"/>
      <c r="J10" s="414">
        <f>H10+F10+'spł poż'!F9</f>
        <v>0</v>
      </c>
      <c r="K10" s="414">
        <f>I10+G10+'spł poż'!G9</f>
        <v>0</v>
      </c>
    </row>
    <row r="11" spans="1:11" ht="15">
      <c r="A11" s="345" t="s">
        <v>13</v>
      </c>
      <c r="B11" s="346">
        <v>90</v>
      </c>
      <c r="C11" s="347">
        <f aca="true" t="shared" si="0" ref="C11:C44">C10-D10</f>
        <v>0</v>
      </c>
      <c r="D11" s="347"/>
      <c r="E11" s="397">
        <f aca="true" t="shared" si="1" ref="E11:E41">B11*C11*0.07/360</f>
        <v>0</v>
      </c>
      <c r="F11" s="397"/>
      <c r="G11" s="427"/>
      <c r="H11" s="438"/>
      <c r="I11" s="439"/>
      <c r="J11" s="415">
        <f>H11+F11+'spł poż'!F10</f>
        <v>0</v>
      </c>
      <c r="K11" s="415">
        <f>I11+G11+'spł poż'!G10</f>
        <v>0</v>
      </c>
    </row>
    <row r="12" spans="1:11" ht="15">
      <c r="A12" s="345" t="s">
        <v>14</v>
      </c>
      <c r="B12" s="346">
        <v>90</v>
      </c>
      <c r="C12" s="347">
        <f t="shared" si="0"/>
        <v>0</v>
      </c>
      <c r="D12" s="347"/>
      <c r="E12" s="397">
        <f t="shared" si="1"/>
        <v>0</v>
      </c>
      <c r="F12" s="397"/>
      <c r="G12" s="427"/>
      <c r="H12" s="438"/>
      <c r="I12" s="439"/>
      <c r="J12" s="415">
        <f>H12+F12+'spł poż'!F11</f>
        <v>0</v>
      </c>
      <c r="K12" s="415">
        <f>I12+G12+'spł poż'!G11</f>
        <v>0</v>
      </c>
    </row>
    <row r="13" spans="1:11" ht="15.75" thickBot="1">
      <c r="A13" s="350" t="s">
        <v>15</v>
      </c>
      <c r="B13" s="351">
        <v>90</v>
      </c>
      <c r="C13" s="352">
        <f t="shared" si="0"/>
        <v>0</v>
      </c>
      <c r="D13" s="352"/>
      <c r="E13" s="399">
        <f t="shared" si="1"/>
        <v>0</v>
      </c>
      <c r="F13" s="399">
        <f>SUM(D10:D13)</f>
        <v>0</v>
      </c>
      <c r="G13" s="428">
        <f>SUM(E10:E13)</f>
        <v>0</v>
      </c>
      <c r="H13" s="442">
        <v>3616899</v>
      </c>
      <c r="I13" s="443">
        <v>575506</v>
      </c>
      <c r="J13" s="413">
        <f>H13+F13+'spł poż'!F12</f>
        <v>3666899</v>
      </c>
      <c r="K13" s="413">
        <f>I13+G13+'spł poż'!G12</f>
        <v>745694</v>
      </c>
    </row>
    <row r="14" spans="1:11" ht="15">
      <c r="A14" s="340" t="s">
        <v>16</v>
      </c>
      <c r="B14" s="341">
        <v>90</v>
      </c>
      <c r="C14" s="342">
        <f t="shared" si="0"/>
        <v>0</v>
      </c>
      <c r="D14" s="342"/>
      <c r="E14" s="396">
        <f t="shared" si="1"/>
        <v>0</v>
      </c>
      <c r="F14" s="396"/>
      <c r="G14" s="426"/>
      <c r="H14" s="438"/>
      <c r="I14" s="439"/>
      <c r="J14" s="414">
        <f>H14+F14+'spł poż'!F13</f>
        <v>0</v>
      </c>
      <c r="K14" s="414">
        <f>I14+G14+'spł poż'!G13</f>
        <v>0</v>
      </c>
    </row>
    <row r="15" spans="1:11" ht="15">
      <c r="A15" s="345" t="s">
        <v>17</v>
      </c>
      <c r="B15" s="346">
        <v>90</v>
      </c>
      <c r="C15" s="347">
        <f t="shared" si="0"/>
        <v>0</v>
      </c>
      <c r="D15" s="347"/>
      <c r="E15" s="397">
        <f t="shared" si="1"/>
        <v>0</v>
      </c>
      <c r="F15" s="397"/>
      <c r="G15" s="427"/>
      <c r="H15" s="438"/>
      <c r="I15" s="439"/>
      <c r="J15" s="415">
        <f>H15+F15+'spł poż'!F14</f>
        <v>0</v>
      </c>
      <c r="K15" s="415">
        <f>I15+G15+'spł poż'!G14</f>
        <v>0</v>
      </c>
    </row>
    <row r="16" spans="1:11" ht="15">
      <c r="A16" s="345" t="s">
        <v>18</v>
      </c>
      <c r="B16" s="346">
        <v>90</v>
      </c>
      <c r="C16" s="347">
        <f t="shared" si="0"/>
        <v>0</v>
      </c>
      <c r="D16" s="347"/>
      <c r="E16" s="397">
        <f t="shared" si="1"/>
        <v>0</v>
      </c>
      <c r="F16" s="397"/>
      <c r="G16" s="427"/>
      <c r="H16" s="438"/>
      <c r="I16" s="439"/>
      <c r="J16" s="415">
        <f>H16+F16+'spł poż'!F15</f>
        <v>0</v>
      </c>
      <c r="K16" s="415">
        <f>I16+G16+'spł poż'!G15</f>
        <v>0</v>
      </c>
    </row>
    <row r="17" spans="1:11" ht="15.75" thickBot="1">
      <c r="A17" s="350" t="s">
        <v>19</v>
      </c>
      <c r="B17" s="351">
        <v>90</v>
      </c>
      <c r="C17" s="352">
        <f t="shared" si="0"/>
        <v>0</v>
      </c>
      <c r="D17" s="352"/>
      <c r="E17" s="399">
        <f t="shared" si="1"/>
        <v>0</v>
      </c>
      <c r="F17" s="399">
        <f>SUM(D14:D17)</f>
        <v>0</v>
      </c>
      <c r="G17" s="428">
        <f>SUM(E14:E17)</f>
        <v>0</v>
      </c>
      <c r="H17" s="442">
        <v>3456453</v>
      </c>
      <c r="I17" s="443">
        <v>349963</v>
      </c>
      <c r="J17" s="413">
        <f>H17+F17+'spł poż'!F16</f>
        <v>3506453</v>
      </c>
      <c r="K17" s="413">
        <f>I17+G17+'spł poż'!G16</f>
        <v>516651</v>
      </c>
    </row>
    <row r="18" spans="1:11" ht="15">
      <c r="A18" s="340" t="s">
        <v>20</v>
      </c>
      <c r="B18" s="341">
        <v>90</v>
      </c>
      <c r="C18" s="342">
        <f t="shared" si="0"/>
        <v>0</v>
      </c>
      <c r="D18" s="342">
        <f>D17</f>
        <v>0</v>
      </c>
      <c r="E18" s="396">
        <f t="shared" si="1"/>
        <v>0</v>
      </c>
      <c r="F18" s="396"/>
      <c r="G18" s="426"/>
      <c r="H18" s="438"/>
      <c r="I18" s="439"/>
      <c r="J18" s="414">
        <f>H18+F18+'spł poż'!F17</f>
        <v>0</v>
      </c>
      <c r="K18" s="414">
        <f>I18+G18+'spł poż'!G17</f>
        <v>0</v>
      </c>
    </row>
    <row r="19" spans="1:11" ht="15">
      <c r="A19" s="345" t="s">
        <v>21</v>
      </c>
      <c r="B19" s="346">
        <v>90</v>
      </c>
      <c r="C19" s="347">
        <f t="shared" si="0"/>
        <v>0</v>
      </c>
      <c r="D19" s="347"/>
      <c r="E19" s="397">
        <f t="shared" si="1"/>
        <v>0</v>
      </c>
      <c r="F19" s="397"/>
      <c r="G19" s="427"/>
      <c r="H19" s="438"/>
      <c r="I19" s="439"/>
      <c r="J19" s="415">
        <f>H19+F19+'spł poż'!F18</f>
        <v>0</v>
      </c>
      <c r="K19" s="415">
        <f>I19+G19+'spł poż'!G18</f>
        <v>0</v>
      </c>
    </row>
    <row r="20" spans="1:36" s="17" customFormat="1" ht="15">
      <c r="A20" s="355" t="s">
        <v>22</v>
      </c>
      <c r="B20" s="356">
        <v>90</v>
      </c>
      <c r="C20" s="347">
        <f t="shared" si="0"/>
        <v>0</v>
      </c>
      <c r="D20" s="347"/>
      <c r="E20" s="397">
        <f t="shared" si="1"/>
        <v>0</v>
      </c>
      <c r="F20" s="400"/>
      <c r="G20" s="429"/>
      <c r="H20" s="438"/>
      <c r="I20" s="439"/>
      <c r="J20" s="415">
        <f>H20+F20+'spł poż'!F19</f>
        <v>0</v>
      </c>
      <c r="K20" s="415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361" t="s">
        <v>23</v>
      </c>
      <c r="B21" s="362">
        <v>90</v>
      </c>
      <c r="C21" s="363">
        <f t="shared" si="0"/>
        <v>0</v>
      </c>
      <c r="D21" s="376"/>
      <c r="E21" s="402">
        <f t="shared" si="1"/>
        <v>0</v>
      </c>
      <c r="F21" s="403">
        <f>SUM(D18:D21)</f>
        <v>0</v>
      </c>
      <c r="G21" s="430">
        <f>SUM(E18:E21)</f>
        <v>0</v>
      </c>
      <c r="H21" s="442">
        <v>2500000</v>
      </c>
      <c r="I21" s="443">
        <v>258568</v>
      </c>
      <c r="J21" s="416">
        <f>H21+F21+'spł poż'!F20</f>
        <v>2550000</v>
      </c>
      <c r="K21" s="416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340" t="s">
        <v>24</v>
      </c>
      <c r="B22" s="341">
        <v>90</v>
      </c>
      <c r="C22" s="342">
        <f t="shared" si="0"/>
        <v>0</v>
      </c>
      <c r="D22" s="369"/>
      <c r="E22" s="396">
        <f t="shared" si="1"/>
        <v>0</v>
      </c>
      <c r="F22" s="396"/>
      <c r="G22" s="426"/>
      <c r="H22" s="438"/>
      <c r="I22" s="439"/>
      <c r="J22" s="414">
        <f>H22+F22+'spł poż'!F21</f>
        <v>0</v>
      </c>
      <c r="K22" s="414">
        <f>I22+G22+'spł poż'!G21</f>
        <v>0</v>
      </c>
    </row>
    <row r="23" spans="1:11" ht="15">
      <c r="A23" s="345" t="s">
        <v>25</v>
      </c>
      <c r="B23" s="346">
        <v>90</v>
      </c>
      <c r="C23" s="347">
        <f t="shared" si="0"/>
        <v>0</v>
      </c>
      <c r="D23" s="371"/>
      <c r="E23" s="397">
        <f t="shared" si="1"/>
        <v>0</v>
      </c>
      <c r="F23" s="397"/>
      <c r="G23" s="427"/>
      <c r="H23" s="438"/>
      <c r="I23" s="439"/>
      <c r="J23" s="415">
        <f>H23+F23+'spł poż'!F22</f>
        <v>0</v>
      </c>
      <c r="K23" s="415">
        <f>I23+G23+'spł poż'!G22</f>
        <v>0</v>
      </c>
    </row>
    <row r="24" spans="1:11" ht="15">
      <c r="A24" s="345" t="s">
        <v>26</v>
      </c>
      <c r="B24" s="346">
        <v>90</v>
      </c>
      <c r="C24" s="347">
        <f t="shared" si="0"/>
        <v>0</v>
      </c>
      <c r="D24" s="347"/>
      <c r="E24" s="397">
        <f t="shared" si="1"/>
        <v>0</v>
      </c>
      <c r="F24" s="397"/>
      <c r="G24" s="427"/>
      <c r="H24" s="438"/>
      <c r="I24" s="439"/>
      <c r="J24" s="415">
        <f>H24+F24+'spł poż'!F23</f>
        <v>0</v>
      </c>
      <c r="K24" s="415">
        <f>I24+G24+'spł poż'!G23</f>
        <v>0</v>
      </c>
    </row>
    <row r="25" spans="1:11" ht="15.75" thickBot="1">
      <c r="A25" s="350" t="s">
        <v>27</v>
      </c>
      <c r="B25" s="351">
        <v>90</v>
      </c>
      <c r="C25" s="352">
        <f t="shared" si="0"/>
        <v>0</v>
      </c>
      <c r="D25" s="352"/>
      <c r="E25" s="399">
        <f t="shared" si="1"/>
        <v>0</v>
      </c>
      <c r="F25" s="399">
        <f>SUM(D22:D25)</f>
        <v>0</v>
      </c>
      <c r="G25" s="428">
        <f>SUM(E22:E25)</f>
        <v>0</v>
      </c>
      <c r="H25" s="442">
        <v>2500000</v>
      </c>
      <c r="I25" s="443">
        <v>171068</v>
      </c>
      <c r="J25" s="413">
        <f>H25+F25+'spł poż'!F24</f>
        <v>2550000</v>
      </c>
      <c r="K25" s="413">
        <f>I25+G25+'spł poż'!G24</f>
        <v>330756</v>
      </c>
    </row>
    <row r="26" spans="1:36" s="17" customFormat="1" ht="15">
      <c r="A26" s="367" t="s">
        <v>28</v>
      </c>
      <c r="B26" s="368">
        <v>90</v>
      </c>
      <c r="C26" s="342">
        <f t="shared" si="0"/>
        <v>0</v>
      </c>
      <c r="D26" s="369"/>
      <c r="E26" s="396">
        <f t="shared" si="1"/>
        <v>0</v>
      </c>
      <c r="F26" s="404"/>
      <c r="G26" s="431"/>
      <c r="H26" s="438"/>
      <c r="I26" s="439"/>
      <c r="J26" s="414">
        <f>H26+F26+'spł poż'!F25</f>
        <v>0</v>
      </c>
      <c r="K26" s="414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355" t="s">
        <v>29</v>
      </c>
      <c r="B27" s="356">
        <v>90</v>
      </c>
      <c r="C27" s="347">
        <f t="shared" si="0"/>
        <v>0</v>
      </c>
      <c r="D27" s="371"/>
      <c r="E27" s="397">
        <f t="shared" si="1"/>
        <v>0</v>
      </c>
      <c r="F27" s="400"/>
      <c r="G27" s="429"/>
      <c r="H27" s="438"/>
      <c r="I27" s="439"/>
      <c r="J27" s="415">
        <f>H27+F27+'spł poż'!F26</f>
        <v>0</v>
      </c>
      <c r="K27" s="415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355" t="s">
        <v>30</v>
      </c>
      <c r="B28" s="356">
        <v>90</v>
      </c>
      <c r="C28" s="347">
        <f t="shared" si="0"/>
        <v>0</v>
      </c>
      <c r="D28" s="371"/>
      <c r="E28" s="397">
        <f t="shared" si="1"/>
        <v>0</v>
      </c>
      <c r="F28" s="400"/>
      <c r="G28" s="429"/>
      <c r="H28" s="438"/>
      <c r="I28" s="439"/>
      <c r="J28" s="415">
        <f>H28+F28+'spł poż'!F27</f>
        <v>0</v>
      </c>
      <c r="K28" s="415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358" t="s">
        <v>31</v>
      </c>
      <c r="B29" s="359">
        <v>90</v>
      </c>
      <c r="C29" s="352">
        <f t="shared" si="0"/>
        <v>0</v>
      </c>
      <c r="D29" s="372"/>
      <c r="E29" s="399">
        <f t="shared" si="1"/>
        <v>0</v>
      </c>
      <c r="F29" s="401">
        <f>SUM(D26:D29)</f>
        <v>0</v>
      </c>
      <c r="G29" s="432">
        <f>SUM(E26:E29)</f>
        <v>0</v>
      </c>
      <c r="H29" s="442">
        <v>2376170</v>
      </c>
      <c r="I29" s="443">
        <v>83568</v>
      </c>
      <c r="J29" s="413">
        <f>H29+F29+'spł poż'!F28</f>
        <v>2401170</v>
      </c>
      <c r="K29" s="413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340" t="s">
        <v>32</v>
      </c>
      <c r="B30" s="341">
        <v>90</v>
      </c>
      <c r="C30" s="342">
        <f t="shared" si="0"/>
        <v>0</v>
      </c>
      <c r="D30" s="342"/>
      <c r="E30" s="396">
        <f t="shared" si="1"/>
        <v>0</v>
      </c>
      <c r="F30" s="396"/>
      <c r="G30" s="426"/>
      <c r="H30" s="438"/>
      <c r="I30" s="439"/>
      <c r="J30" s="414">
        <f>H30+F30+'spł poż'!F29</f>
        <v>0</v>
      </c>
      <c r="K30" s="414">
        <f>I30+G30+'spł poż'!G29</f>
        <v>0</v>
      </c>
    </row>
    <row r="31" spans="1:11" ht="15">
      <c r="A31" s="345" t="s">
        <v>33</v>
      </c>
      <c r="B31" s="346">
        <v>90</v>
      </c>
      <c r="C31" s="347">
        <f t="shared" si="0"/>
        <v>0</v>
      </c>
      <c r="D31" s="371"/>
      <c r="E31" s="397">
        <f t="shared" si="1"/>
        <v>0</v>
      </c>
      <c r="F31" s="397"/>
      <c r="G31" s="427"/>
      <c r="H31" s="438"/>
      <c r="I31" s="439"/>
      <c r="J31" s="415">
        <f>H31+F31+'spł poż'!F30</f>
        <v>0</v>
      </c>
      <c r="K31" s="415">
        <f>I31+G31+'spł poż'!G30</f>
        <v>0</v>
      </c>
    </row>
    <row r="32" spans="1:11" ht="15">
      <c r="A32" s="345" t="s">
        <v>34</v>
      </c>
      <c r="B32" s="346">
        <v>90</v>
      </c>
      <c r="C32" s="347">
        <f t="shared" si="0"/>
        <v>0</v>
      </c>
      <c r="D32" s="371"/>
      <c r="E32" s="397">
        <f t="shared" si="1"/>
        <v>0</v>
      </c>
      <c r="F32" s="397"/>
      <c r="G32" s="427"/>
      <c r="H32" s="438"/>
      <c r="I32" s="439"/>
      <c r="J32" s="415">
        <f>H32+F32+'spł poż'!F31</f>
        <v>0</v>
      </c>
      <c r="K32" s="415">
        <f>I32+G32+'spł poż'!G31</f>
        <v>0</v>
      </c>
    </row>
    <row r="33" spans="1:11" ht="15.75" thickBot="1">
      <c r="A33" s="405" t="s">
        <v>35</v>
      </c>
      <c r="B33" s="406">
        <v>90</v>
      </c>
      <c r="C33" s="363">
        <f t="shared" si="0"/>
        <v>0</v>
      </c>
      <c r="D33" s="376"/>
      <c r="E33" s="402">
        <f t="shared" si="1"/>
        <v>0</v>
      </c>
      <c r="F33" s="402">
        <f>SUM(D30:D33)</f>
        <v>0</v>
      </c>
      <c r="G33" s="433">
        <f>SUM(E30:E33)</f>
        <v>0</v>
      </c>
      <c r="H33" s="442">
        <v>11500</v>
      </c>
      <c r="I33" s="439">
        <v>403</v>
      </c>
      <c r="J33" s="416">
        <f>H33+F33+'spł poż'!F32</f>
        <v>62028</v>
      </c>
      <c r="K33" s="416">
        <f>I33+G33+'spł poż'!G32</f>
        <v>126831.26000000002</v>
      </c>
    </row>
    <row r="34" spans="1:36" s="17" customFormat="1" ht="15">
      <c r="A34" s="367" t="s">
        <v>36</v>
      </c>
      <c r="B34" s="368">
        <v>90</v>
      </c>
      <c r="C34" s="342">
        <f t="shared" si="0"/>
        <v>0</v>
      </c>
      <c r="D34" s="369"/>
      <c r="E34" s="396">
        <f t="shared" si="1"/>
        <v>0</v>
      </c>
      <c r="F34" s="404"/>
      <c r="G34" s="431"/>
      <c r="H34" s="438"/>
      <c r="I34" s="439"/>
      <c r="J34" s="414">
        <f>H34+F34+'spł poż'!F33</f>
        <v>0</v>
      </c>
      <c r="K34" s="414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355" t="s">
        <v>37</v>
      </c>
      <c r="B35" s="356">
        <v>90</v>
      </c>
      <c r="C35" s="347">
        <f t="shared" si="0"/>
        <v>0</v>
      </c>
      <c r="D35" s="371">
        <f>D34</f>
        <v>0</v>
      </c>
      <c r="E35" s="397">
        <f t="shared" si="1"/>
        <v>0</v>
      </c>
      <c r="F35" s="400"/>
      <c r="G35" s="429"/>
      <c r="H35" s="438"/>
      <c r="I35" s="439"/>
      <c r="J35" s="415">
        <f>H35+F35+'spł poż'!F34</f>
        <v>0</v>
      </c>
      <c r="K35" s="415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355" t="s">
        <v>38</v>
      </c>
      <c r="B36" s="356">
        <v>90</v>
      </c>
      <c r="C36" s="347">
        <f t="shared" si="0"/>
        <v>0</v>
      </c>
      <c r="D36" s="371"/>
      <c r="E36" s="397">
        <f t="shared" si="1"/>
        <v>0</v>
      </c>
      <c r="F36" s="400"/>
      <c r="G36" s="429"/>
      <c r="H36" s="438"/>
      <c r="I36" s="439"/>
      <c r="J36" s="415">
        <f>H36+F36+'spł poż'!F35</f>
        <v>0</v>
      </c>
      <c r="K36" s="415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358" t="s">
        <v>39</v>
      </c>
      <c r="B37" s="359">
        <v>90</v>
      </c>
      <c r="C37" s="352">
        <f t="shared" si="0"/>
        <v>0</v>
      </c>
      <c r="D37" s="372"/>
      <c r="E37" s="399">
        <f t="shared" si="1"/>
        <v>0</v>
      </c>
      <c r="F37" s="401">
        <f>SUM(D34:D37)</f>
        <v>0</v>
      </c>
      <c r="G37" s="432">
        <f>SUM(E34:E37)</f>
        <v>0</v>
      </c>
      <c r="H37" s="438"/>
      <c r="I37" s="439"/>
      <c r="J37" s="413">
        <f>H37+F37+'spł poż'!F36</f>
        <v>750523</v>
      </c>
      <c r="K37" s="413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340" t="s">
        <v>40</v>
      </c>
      <c r="B38" s="341">
        <v>90</v>
      </c>
      <c r="C38" s="342">
        <f t="shared" si="0"/>
        <v>0</v>
      </c>
      <c r="D38" s="342">
        <f>D37</f>
        <v>0</v>
      </c>
      <c r="E38" s="396">
        <f t="shared" si="1"/>
        <v>0</v>
      </c>
      <c r="F38" s="396"/>
      <c r="G38" s="426"/>
      <c r="H38" s="438"/>
      <c r="I38" s="439"/>
      <c r="J38" s="414">
        <f>H38+F38+'spł poż'!F37</f>
        <v>0</v>
      </c>
      <c r="K38" s="414">
        <f>I38+G38+'spł poż'!G37</f>
        <v>0</v>
      </c>
    </row>
    <row r="39" spans="1:11" ht="15">
      <c r="A39" s="345" t="s">
        <v>41</v>
      </c>
      <c r="B39" s="346">
        <v>90</v>
      </c>
      <c r="C39" s="347">
        <f t="shared" si="0"/>
        <v>0</v>
      </c>
      <c r="D39" s="347">
        <f>D38</f>
        <v>0</v>
      </c>
      <c r="E39" s="397">
        <f t="shared" si="1"/>
        <v>0</v>
      </c>
      <c r="F39" s="397"/>
      <c r="G39" s="427"/>
      <c r="H39" s="438"/>
      <c r="I39" s="439"/>
      <c r="J39" s="415">
        <f>H39+F39+'spł poż'!F38</f>
        <v>0</v>
      </c>
      <c r="K39" s="415">
        <f>I39+G39+'spł poż'!G38</f>
        <v>0</v>
      </c>
    </row>
    <row r="40" spans="1:11" ht="15">
      <c r="A40" s="345" t="s">
        <v>42</v>
      </c>
      <c r="B40" s="346">
        <v>90</v>
      </c>
      <c r="C40" s="347">
        <f t="shared" si="0"/>
        <v>0</v>
      </c>
      <c r="D40" s="347">
        <f>D39</f>
        <v>0</v>
      </c>
      <c r="E40" s="397">
        <f t="shared" si="1"/>
        <v>0</v>
      </c>
      <c r="F40" s="397"/>
      <c r="G40" s="427"/>
      <c r="H40" s="438"/>
      <c r="I40" s="439"/>
      <c r="J40" s="415">
        <f>H40+F40+'spł poż'!F39</f>
        <v>0</v>
      </c>
      <c r="K40" s="415">
        <f>I40+G40+'spł poż'!G39</f>
        <v>0</v>
      </c>
    </row>
    <row r="41" spans="1:11" ht="15.75" thickBot="1">
      <c r="A41" s="350" t="s">
        <v>43</v>
      </c>
      <c r="B41" s="351">
        <v>90</v>
      </c>
      <c r="C41" s="352">
        <f t="shared" si="0"/>
        <v>0</v>
      </c>
      <c r="D41" s="352"/>
      <c r="E41" s="399">
        <f t="shared" si="1"/>
        <v>0</v>
      </c>
      <c r="F41" s="399">
        <f>SUM(D38:D41)</f>
        <v>0</v>
      </c>
      <c r="G41" s="428">
        <f>SUM(E38:E41)</f>
        <v>0</v>
      </c>
      <c r="H41" s="438"/>
      <c r="I41" s="439"/>
      <c r="J41" s="413">
        <f>H41+F41+'spł poż'!F40</f>
        <v>600000</v>
      </c>
      <c r="K41" s="413">
        <f>I41+G41+'spł poż'!G40</f>
        <v>55926.43</v>
      </c>
    </row>
    <row r="42" spans="1:11" ht="15">
      <c r="A42" s="340" t="s">
        <v>44</v>
      </c>
      <c r="B42" s="341">
        <v>90</v>
      </c>
      <c r="C42" s="342">
        <f t="shared" si="0"/>
        <v>0</v>
      </c>
      <c r="D42" s="342"/>
      <c r="E42" s="396">
        <f>B42*C42*0.07/360</f>
        <v>0</v>
      </c>
      <c r="F42" s="396"/>
      <c r="G42" s="426"/>
      <c r="H42" s="438"/>
      <c r="I42" s="439"/>
      <c r="J42" s="414">
        <f>H42+F42+'spł poż'!F41</f>
        <v>0</v>
      </c>
      <c r="K42" s="414">
        <f>I42+G42+'spł poż'!G41</f>
        <v>0</v>
      </c>
    </row>
    <row r="43" spans="1:11" ht="15">
      <c r="A43" s="345" t="s">
        <v>45</v>
      </c>
      <c r="B43" s="346">
        <v>90</v>
      </c>
      <c r="C43" s="347">
        <f t="shared" si="0"/>
        <v>0</v>
      </c>
      <c r="D43" s="347"/>
      <c r="E43" s="397">
        <f>B43*C43*0.07/360</f>
        <v>0</v>
      </c>
      <c r="F43" s="397"/>
      <c r="G43" s="427"/>
      <c r="H43" s="438"/>
      <c r="I43" s="439"/>
      <c r="J43" s="415">
        <f>H43+F43+'spł poż'!F42</f>
        <v>0</v>
      </c>
      <c r="K43" s="415">
        <f>I43+G43+'spł poż'!G42</f>
        <v>0</v>
      </c>
    </row>
    <row r="44" spans="1:11" ht="15">
      <c r="A44" s="345" t="s">
        <v>46</v>
      </c>
      <c r="B44" s="346">
        <v>90</v>
      </c>
      <c r="C44" s="347">
        <f t="shared" si="0"/>
        <v>0</v>
      </c>
      <c r="D44" s="347"/>
      <c r="E44" s="397">
        <f>B44*C44*0.07/360</f>
        <v>0</v>
      </c>
      <c r="F44" s="397"/>
      <c r="G44" s="427"/>
      <c r="H44" s="438"/>
      <c r="I44" s="439"/>
      <c r="J44" s="415">
        <f>H44+F44+'spł poż'!F43</f>
        <v>0</v>
      </c>
      <c r="K44" s="415">
        <f>I44+G44+'spł poż'!G43</f>
        <v>0</v>
      </c>
    </row>
    <row r="45" spans="1:11" ht="15.75" thickBot="1">
      <c r="A45" s="350" t="s">
        <v>47</v>
      </c>
      <c r="B45" s="351">
        <v>90</v>
      </c>
      <c r="C45" s="352">
        <f>C44-D44</f>
        <v>0</v>
      </c>
      <c r="D45" s="352"/>
      <c r="E45" s="399">
        <f>B45*C45*0.07/360</f>
        <v>0</v>
      </c>
      <c r="F45" s="399">
        <f>SUM(D42:D45)</f>
        <v>0</v>
      </c>
      <c r="G45" s="428">
        <f>SUM(E42:E45)</f>
        <v>0</v>
      </c>
      <c r="H45" s="444"/>
      <c r="I45" s="445"/>
      <c r="J45" s="413">
        <f>H45+F45+'spł poż'!F44</f>
        <v>423949</v>
      </c>
      <c r="K45" s="413">
        <f>I45+G45+'spł poż'!G44</f>
        <v>18757.322500000002</v>
      </c>
    </row>
    <row r="46" spans="4:11" ht="12.75">
      <c r="D46" s="14">
        <f>SUM(D10:D45)</f>
        <v>0</v>
      </c>
      <c r="J46" s="407"/>
      <c r="K46" s="459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view="pageBreakPreview" zoomScale="75" zoomScaleNormal="90" zoomScaleSheetLayoutView="75" zoomScalePageLayoutView="0" workbookViewId="0" topLeftCell="A64">
      <selection activeCell="H18" sqref="H18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0.00390625" style="31" customWidth="1"/>
    <col min="4" max="4" width="14.421875" style="31" customWidth="1"/>
    <col min="5" max="5" width="14.28125" style="0" customWidth="1"/>
    <col min="6" max="6" width="14.8515625" style="0" customWidth="1"/>
    <col min="7" max="7" width="13.421875" style="31" customWidth="1"/>
    <col min="8" max="8" width="14.57421875" style="0" customWidth="1"/>
    <col min="9" max="9" width="14.28125" style="0" customWidth="1"/>
    <col min="10" max="10" width="14.421875" style="0" customWidth="1"/>
    <col min="11" max="12" width="14.28125" style="0" customWidth="1"/>
    <col min="13" max="13" width="15.28125" style="0" customWidth="1"/>
    <col min="14" max="14" width="14.8515625" style="0" customWidth="1"/>
    <col min="15" max="15" width="14.7109375" style="0" customWidth="1"/>
    <col min="16" max="16" width="14.8515625" style="0" customWidth="1"/>
    <col min="17" max="18" width="15.7109375" style="0" customWidth="1"/>
  </cols>
  <sheetData>
    <row r="1" spans="1:18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3"/>
      <c r="O1" s="65" t="s">
        <v>48</v>
      </c>
      <c r="P1" s="65"/>
      <c r="Q1" s="66"/>
      <c r="R1" s="66"/>
    </row>
    <row r="2" spans="1:18" ht="3.75" customHeight="1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8"/>
      <c r="O2" s="70"/>
      <c r="P2" s="71"/>
      <c r="Q2" s="68"/>
      <c r="R2" s="68"/>
    </row>
    <row r="3" spans="1:18" ht="12.75" customHeight="1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3"/>
      <c r="O3" s="75" t="s">
        <v>267</v>
      </c>
      <c r="P3" s="71"/>
      <c r="Q3" s="73"/>
      <c r="R3" s="73"/>
    </row>
    <row r="4" spans="1:18" ht="16.5" customHeight="1">
      <c r="A4" s="72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3"/>
      <c r="O4" s="75" t="s">
        <v>49</v>
      </c>
      <c r="P4" s="71"/>
      <c r="Q4" s="73"/>
      <c r="R4" s="73"/>
    </row>
    <row r="5" spans="1:18" ht="12" customHeight="1">
      <c r="A5" s="72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3"/>
      <c r="O5" s="75" t="s">
        <v>268</v>
      </c>
      <c r="P5" s="71"/>
      <c r="Q5" s="73"/>
      <c r="R5" s="73"/>
    </row>
    <row r="6" spans="1:18" ht="19.5" customHeight="1">
      <c r="A6" s="612" t="s">
        <v>225</v>
      </c>
      <c r="B6" s="612"/>
      <c r="C6" s="612" t="s">
        <v>51</v>
      </c>
      <c r="D6" s="612" t="s">
        <v>52</v>
      </c>
      <c r="E6" s="612" t="s">
        <v>50</v>
      </c>
      <c r="F6" s="612" t="s">
        <v>53</v>
      </c>
      <c r="G6" s="612" t="s">
        <v>54</v>
      </c>
      <c r="H6" s="612" t="s">
        <v>55</v>
      </c>
      <c r="I6" s="612" t="s">
        <v>56</v>
      </c>
      <c r="J6" s="612" t="s">
        <v>57</v>
      </c>
      <c r="K6" s="612" t="s">
        <v>58</v>
      </c>
      <c r="L6" s="612" t="s">
        <v>59</v>
      </c>
      <c r="M6" s="612" t="s">
        <v>60</v>
      </c>
      <c r="N6" s="612" t="s">
        <v>61</v>
      </c>
      <c r="O6" s="612" t="s">
        <v>62</v>
      </c>
      <c r="P6" s="76"/>
      <c r="Q6" s="76"/>
      <c r="R6" s="77"/>
    </row>
    <row r="7" spans="1:18" ht="19.5" customHeight="1">
      <c r="A7" s="612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76"/>
      <c r="Q7" s="76"/>
      <c r="R7" s="77"/>
    </row>
    <row r="8" spans="1:18" ht="19.5" customHeight="1" thickBot="1">
      <c r="A8" s="612"/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78"/>
      <c r="Q8" s="78"/>
      <c r="R8" s="79"/>
    </row>
    <row r="9" spans="1:18" ht="16.5" customHeight="1" thickBot="1">
      <c r="A9" s="571" t="s">
        <v>63</v>
      </c>
      <c r="B9" s="587" t="s">
        <v>64</v>
      </c>
      <c r="C9" s="588"/>
      <c r="D9" s="580" t="s">
        <v>65</v>
      </c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2"/>
    </row>
    <row r="10" spans="1:18" ht="16.5" customHeight="1" thickBot="1">
      <c r="A10" s="572"/>
      <c r="B10" s="589"/>
      <c r="C10" s="590"/>
      <c r="D10" s="580" t="s">
        <v>66</v>
      </c>
      <c r="E10" s="581"/>
      <c r="F10" s="581"/>
      <c r="G10" s="582"/>
      <c r="H10" s="580" t="s">
        <v>67</v>
      </c>
      <c r="I10" s="581"/>
      <c r="J10" s="581"/>
      <c r="K10" s="581"/>
      <c r="L10" s="581"/>
      <c r="M10" s="581"/>
      <c r="N10" s="581"/>
      <c r="O10" s="581"/>
      <c r="P10" s="581"/>
      <c r="Q10" s="581"/>
      <c r="R10" s="582"/>
    </row>
    <row r="11" spans="1:18" ht="18" customHeight="1">
      <c r="A11" s="572"/>
      <c r="B11" s="589"/>
      <c r="C11" s="590"/>
      <c r="D11" s="571">
        <v>2007</v>
      </c>
      <c r="E11" s="571">
        <v>2008</v>
      </c>
      <c r="F11" s="578">
        <v>2009</v>
      </c>
      <c r="G11" s="574">
        <v>2010</v>
      </c>
      <c r="H11" s="576">
        <v>2011</v>
      </c>
      <c r="I11" s="571">
        <v>2012</v>
      </c>
      <c r="J11" s="571">
        <v>2013</v>
      </c>
      <c r="K11" s="571">
        <v>2014</v>
      </c>
      <c r="L11" s="571">
        <v>2015</v>
      </c>
      <c r="M11" s="571">
        <v>2016</v>
      </c>
      <c r="N11" s="571">
        <v>2017</v>
      </c>
      <c r="O11" s="571">
        <v>2018</v>
      </c>
      <c r="P11" s="571">
        <v>2019</v>
      </c>
      <c r="Q11" s="571">
        <v>2020</v>
      </c>
      <c r="R11" s="571">
        <v>2021</v>
      </c>
    </row>
    <row r="12" spans="1:18" ht="14.25" customHeight="1" thickBot="1">
      <c r="A12" s="573"/>
      <c r="B12" s="591"/>
      <c r="C12" s="592"/>
      <c r="D12" s="573"/>
      <c r="E12" s="573"/>
      <c r="F12" s="579"/>
      <c r="G12" s="575"/>
      <c r="H12" s="577"/>
      <c r="I12" s="573"/>
      <c r="J12" s="573"/>
      <c r="K12" s="573"/>
      <c r="L12" s="573"/>
      <c r="M12" s="573"/>
      <c r="N12" s="573"/>
      <c r="O12" s="573"/>
      <c r="P12" s="573"/>
      <c r="Q12" s="573"/>
      <c r="R12" s="573"/>
    </row>
    <row r="13" spans="1:18" s="32" customFormat="1" ht="19.5" customHeight="1">
      <c r="A13" s="90">
        <v>1</v>
      </c>
      <c r="B13" s="618" t="s">
        <v>68</v>
      </c>
      <c r="C13" s="618"/>
      <c r="D13" s="91">
        <f aca="true" t="shared" si="0" ref="D13:I13">D14+D15</f>
        <v>75196615</v>
      </c>
      <c r="E13" s="91">
        <f t="shared" si="0"/>
        <v>80916668</v>
      </c>
      <c r="F13" s="91">
        <f t="shared" si="0"/>
        <v>81699693</v>
      </c>
      <c r="G13" s="314">
        <f t="shared" si="0"/>
        <v>85095905</v>
      </c>
      <c r="H13" s="318">
        <f t="shared" si="0"/>
        <v>111836729</v>
      </c>
      <c r="I13" s="91">
        <f t="shared" si="0"/>
        <v>154394829</v>
      </c>
      <c r="J13" s="91">
        <f aca="true" t="shared" si="1" ref="J13:R13">J14+J15</f>
        <v>159865284</v>
      </c>
      <c r="K13" s="91">
        <f t="shared" si="1"/>
        <v>105647586</v>
      </c>
      <c r="L13" s="395">
        <f t="shared" si="1"/>
        <v>118758338</v>
      </c>
      <c r="M13" s="91">
        <f t="shared" si="1"/>
        <v>105848430</v>
      </c>
      <c r="N13" s="91">
        <f t="shared" si="1"/>
        <v>108078216</v>
      </c>
      <c r="O13" s="91">
        <f t="shared" si="1"/>
        <v>111030581</v>
      </c>
      <c r="P13" s="91">
        <f t="shared" si="1"/>
        <v>110658756</v>
      </c>
      <c r="Q13" s="92">
        <f t="shared" si="1"/>
        <v>116016075</v>
      </c>
      <c r="R13" s="93">
        <f t="shared" si="1"/>
        <v>130658641</v>
      </c>
    </row>
    <row r="14" spans="1:18" ht="19.5" customHeight="1">
      <c r="A14" s="94" t="s">
        <v>69</v>
      </c>
      <c r="B14" s="584" t="s">
        <v>70</v>
      </c>
      <c r="C14" s="584"/>
      <c r="D14" s="95">
        <v>74779347</v>
      </c>
      <c r="E14" s="96">
        <v>80901768</v>
      </c>
      <c r="F14" s="96">
        <v>80665439</v>
      </c>
      <c r="G14" s="120">
        <v>84339995</v>
      </c>
      <c r="H14" s="319">
        <v>98580910</v>
      </c>
      <c r="I14" s="96">
        <v>103491830</v>
      </c>
      <c r="J14" s="96">
        <v>106967783</v>
      </c>
      <c r="K14" s="97">
        <v>101647586</v>
      </c>
      <c r="L14" s="96">
        <v>104758338</v>
      </c>
      <c r="M14" s="96">
        <v>105848430</v>
      </c>
      <c r="N14" s="96">
        <v>108078216</v>
      </c>
      <c r="O14" s="96">
        <v>111030581</v>
      </c>
      <c r="P14" s="96">
        <v>110658756</v>
      </c>
      <c r="Q14" s="98">
        <v>114016075</v>
      </c>
      <c r="R14" s="96">
        <v>118658641</v>
      </c>
    </row>
    <row r="15" spans="1:18" ht="19.5" customHeight="1">
      <c r="A15" s="94" t="s">
        <v>71</v>
      </c>
      <c r="B15" s="584" t="s">
        <v>72</v>
      </c>
      <c r="C15" s="584"/>
      <c r="D15" s="95">
        <v>417268</v>
      </c>
      <c r="E15" s="96">
        <v>14900</v>
      </c>
      <c r="F15" s="96">
        <v>1034254</v>
      </c>
      <c r="G15" s="120">
        <v>755910</v>
      </c>
      <c r="H15" s="319">
        <v>13255819</v>
      </c>
      <c r="I15" s="96">
        <v>50902999</v>
      </c>
      <c r="J15" s="96">
        <v>52897501</v>
      </c>
      <c r="K15" s="97">
        <v>4000000</v>
      </c>
      <c r="L15" s="96">
        <v>14000000</v>
      </c>
      <c r="M15" s="96">
        <f>M16</f>
        <v>0</v>
      </c>
      <c r="N15" s="96">
        <f>N16</f>
        <v>0</v>
      </c>
      <c r="O15" s="97">
        <v>0</v>
      </c>
      <c r="P15" s="96">
        <f>P16</f>
        <v>0</v>
      </c>
      <c r="Q15" s="98">
        <f>Q16</f>
        <v>2000000</v>
      </c>
      <c r="R15" s="99">
        <f>R16</f>
        <v>12000000</v>
      </c>
    </row>
    <row r="16" spans="1:18" ht="20.25" customHeight="1">
      <c r="A16" s="94" t="s">
        <v>73</v>
      </c>
      <c r="B16" s="127" t="s">
        <v>74</v>
      </c>
      <c r="C16" s="170" t="s">
        <v>75</v>
      </c>
      <c r="D16" s="95">
        <v>0</v>
      </c>
      <c r="E16" s="96">
        <v>0</v>
      </c>
      <c r="F16" s="96">
        <v>197354</v>
      </c>
      <c r="G16" s="120">
        <v>255910</v>
      </c>
      <c r="H16" s="319">
        <v>11100000</v>
      </c>
      <c r="I16" s="97">
        <v>22400000</v>
      </c>
      <c r="J16" s="97">
        <v>20245000</v>
      </c>
      <c r="K16" s="97">
        <v>4000000</v>
      </c>
      <c r="L16" s="97">
        <v>5000000</v>
      </c>
      <c r="M16" s="97">
        <v>0</v>
      </c>
      <c r="N16" s="97">
        <v>0</v>
      </c>
      <c r="O16" s="97">
        <v>0</v>
      </c>
      <c r="P16" s="97">
        <v>0</v>
      </c>
      <c r="Q16" s="97">
        <v>2000000</v>
      </c>
      <c r="R16" s="97">
        <v>12000000</v>
      </c>
    </row>
    <row r="17" spans="1:18" ht="54.75" customHeight="1">
      <c r="A17" s="103">
        <v>2</v>
      </c>
      <c r="B17" s="585" t="s">
        <v>76</v>
      </c>
      <c r="C17" s="585"/>
      <c r="D17" s="104">
        <v>54819832</v>
      </c>
      <c r="E17" s="104">
        <v>63400831</v>
      </c>
      <c r="F17" s="104">
        <v>71551205</v>
      </c>
      <c r="G17" s="115">
        <v>76029699</v>
      </c>
      <c r="H17" s="320">
        <v>89664176</v>
      </c>
      <c r="I17" s="104">
        <v>79226195</v>
      </c>
      <c r="J17" s="104">
        <v>79020230</v>
      </c>
      <c r="K17" s="104">
        <v>80730732</v>
      </c>
      <c r="L17" s="104">
        <v>81620332</v>
      </c>
      <c r="M17" s="104">
        <v>87888924</v>
      </c>
      <c r="N17" s="104">
        <v>89847353</v>
      </c>
      <c r="O17" s="104">
        <v>104909222</v>
      </c>
      <c r="P17" s="104">
        <v>106492957</v>
      </c>
      <c r="Q17" s="105">
        <v>110241024</v>
      </c>
      <c r="R17" s="106">
        <v>113939185</v>
      </c>
    </row>
    <row r="18" spans="1:18" ht="24.75" customHeight="1">
      <c r="A18" s="94" t="s">
        <v>69</v>
      </c>
      <c r="B18" s="586" t="s">
        <v>74</v>
      </c>
      <c r="C18" s="100" t="s">
        <v>77</v>
      </c>
      <c r="D18" s="95">
        <v>18942650</v>
      </c>
      <c r="E18" s="96">
        <v>21925321.76</v>
      </c>
      <c r="F18" s="96">
        <v>25712119</v>
      </c>
      <c r="G18" s="120">
        <v>28031630</v>
      </c>
      <c r="H18" s="319">
        <v>31812111</v>
      </c>
      <c r="I18" s="96">
        <f aca="true" t="shared" si="2" ref="I18:P18">H18*102%</f>
        <v>32448353.22</v>
      </c>
      <c r="J18" s="96">
        <f t="shared" si="2"/>
        <v>33097320.2844</v>
      </c>
      <c r="K18" s="97">
        <f t="shared" si="2"/>
        <v>33759266.690088004</v>
      </c>
      <c r="L18" s="96">
        <f t="shared" si="2"/>
        <v>34434452.023889765</v>
      </c>
      <c r="M18" s="96">
        <f t="shared" si="2"/>
        <v>35123141.06436756</v>
      </c>
      <c r="N18" s="96">
        <f t="shared" si="2"/>
        <v>35825603.88565491</v>
      </c>
      <c r="O18" s="96">
        <f t="shared" si="2"/>
        <v>36542115.96336801</v>
      </c>
      <c r="P18" s="96">
        <f t="shared" si="2"/>
        <v>37272958.282635376</v>
      </c>
      <c r="Q18" s="98">
        <f>O18*102%</f>
        <v>37272958.282635376</v>
      </c>
      <c r="R18" s="99">
        <f>P18*102%</f>
        <v>38018417.44828808</v>
      </c>
    </row>
    <row r="19" spans="1:18" ht="24.75" customHeight="1">
      <c r="A19" s="94" t="s">
        <v>71</v>
      </c>
      <c r="B19" s="586"/>
      <c r="C19" s="100" t="s">
        <v>78</v>
      </c>
      <c r="D19" s="96">
        <v>6162886</v>
      </c>
      <c r="E19" s="96">
        <v>6959371</v>
      </c>
      <c r="F19" s="96">
        <v>7561065</v>
      </c>
      <c r="G19" s="120">
        <v>8358243</v>
      </c>
      <c r="H19" s="319">
        <v>10029253</v>
      </c>
      <c r="I19" s="96">
        <v>7910300</v>
      </c>
      <c r="J19" s="96">
        <v>7950000</v>
      </c>
      <c r="K19" s="97">
        <v>7980000</v>
      </c>
      <c r="L19" s="96">
        <v>8010000</v>
      </c>
      <c r="M19" s="96">
        <v>8170200</v>
      </c>
      <c r="N19" s="96">
        <f>M19*102%</f>
        <v>8333604</v>
      </c>
      <c r="O19" s="96">
        <f>N19*102%</f>
        <v>8500276.08</v>
      </c>
      <c r="P19" s="96">
        <f>O19*102%</f>
        <v>8670281.6016</v>
      </c>
      <c r="Q19" s="98">
        <f>O19*102%</f>
        <v>8670281.6016</v>
      </c>
      <c r="R19" s="99">
        <f>P19*102%</f>
        <v>8843687.233632</v>
      </c>
    </row>
    <row r="20" spans="1:18" ht="20.25" customHeight="1">
      <c r="A20" s="94" t="s">
        <v>79</v>
      </c>
      <c r="B20" s="586"/>
      <c r="C20" s="100" t="s">
        <v>80</v>
      </c>
      <c r="D20" s="95">
        <v>0</v>
      </c>
      <c r="E20" s="96">
        <v>0</v>
      </c>
      <c r="F20" s="96">
        <v>0</v>
      </c>
      <c r="G20" s="120">
        <v>0</v>
      </c>
      <c r="H20" s="321">
        <v>0</v>
      </c>
      <c r="I20" s="95"/>
      <c r="J20" s="95">
        <v>0</v>
      </c>
      <c r="K20" s="95"/>
      <c r="L20" s="95"/>
      <c r="M20" s="95"/>
      <c r="N20" s="95"/>
      <c r="O20" s="95"/>
      <c r="P20" s="95"/>
      <c r="Q20" s="95"/>
      <c r="R20" s="95"/>
    </row>
    <row r="21" spans="1:18" ht="35.25" customHeight="1">
      <c r="A21" s="94" t="s">
        <v>73</v>
      </c>
      <c r="B21" s="586"/>
      <c r="C21" s="100" t="s">
        <v>81</v>
      </c>
      <c r="D21" s="95">
        <v>0</v>
      </c>
      <c r="E21" s="95">
        <v>0</v>
      </c>
      <c r="F21" s="95">
        <v>0</v>
      </c>
      <c r="G21" s="120">
        <v>0</v>
      </c>
      <c r="H21" s="321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107">
        <v>0</v>
      </c>
      <c r="R21" s="108">
        <v>0</v>
      </c>
    </row>
    <row r="22" spans="1:18" ht="31.5">
      <c r="A22" s="94" t="s">
        <v>82</v>
      </c>
      <c r="B22" s="586"/>
      <c r="C22" s="100" t="s">
        <v>83</v>
      </c>
      <c r="D22" s="109" t="s">
        <v>84</v>
      </c>
      <c r="E22" s="96" t="s">
        <v>84</v>
      </c>
      <c r="F22" s="96" t="s">
        <v>84</v>
      </c>
      <c r="G22" s="120" t="s">
        <v>84</v>
      </c>
      <c r="H22" s="319">
        <f>'Wykaz przedsięwzięć'!L91</f>
        <v>813517</v>
      </c>
      <c r="I22" s="97">
        <f>'Wykaz przedsięwzięć'!M91</f>
        <v>5377517</v>
      </c>
      <c r="J22" s="97">
        <f>'Wykaz przedsięwzięć'!N91</f>
        <v>589800</v>
      </c>
      <c r="K22" s="97">
        <f>'Wykaz przedsięwzięć'!O91</f>
        <v>369000</v>
      </c>
      <c r="L22" s="97">
        <f>'Wykaz przedsięwzięć'!P91</f>
        <v>369000</v>
      </c>
      <c r="M22" s="97">
        <v>369000</v>
      </c>
      <c r="N22" s="97">
        <v>0</v>
      </c>
      <c r="O22" s="97">
        <v>0</v>
      </c>
      <c r="P22" s="97">
        <v>0</v>
      </c>
      <c r="Q22" s="101">
        <v>0</v>
      </c>
      <c r="R22" s="102">
        <v>0</v>
      </c>
    </row>
    <row r="23" spans="1:18" ht="38.25" customHeight="1">
      <c r="A23" s="110">
        <v>3</v>
      </c>
      <c r="B23" s="583" t="s">
        <v>85</v>
      </c>
      <c r="C23" s="583"/>
      <c r="D23" s="111">
        <f aca="true" t="shared" si="3" ref="D23:R23">D13-D17</f>
        <v>20376783</v>
      </c>
      <c r="E23" s="111">
        <f t="shared" si="3"/>
        <v>17515837</v>
      </c>
      <c r="F23" s="111">
        <f t="shared" si="3"/>
        <v>10148488</v>
      </c>
      <c r="G23" s="115">
        <f>G13-G17</f>
        <v>9066206</v>
      </c>
      <c r="H23" s="320">
        <f t="shared" si="3"/>
        <v>22172553</v>
      </c>
      <c r="I23" s="111">
        <f>I13-I17</f>
        <v>75168634</v>
      </c>
      <c r="J23" s="111">
        <f t="shared" si="3"/>
        <v>80845054</v>
      </c>
      <c r="K23" s="104">
        <f t="shared" si="3"/>
        <v>24916854</v>
      </c>
      <c r="L23" s="111">
        <f>L13-L17</f>
        <v>37138006</v>
      </c>
      <c r="M23" s="111">
        <f t="shared" si="3"/>
        <v>17959506</v>
      </c>
      <c r="N23" s="111">
        <f t="shared" si="3"/>
        <v>18230863</v>
      </c>
      <c r="O23" s="111">
        <f t="shared" si="3"/>
        <v>6121359</v>
      </c>
      <c r="P23" s="111">
        <f t="shared" si="3"/>
        <v>4165799</v>
      </c>
      <c r="Q23" s="112">
        <f>Q13-Q17</f>
        <v>5775051</v>
      </c>
      <c r="R23" s="113">
        <f t="shared" si="3"/>
        <v>16719456</v>
      </c>
    </row>
    <row r="24" spans="1:18" ht="39.75" customHeight="1">
      <c r="A24" s="110">
        <v>4</v>
      </c>
      <c r="B24" s="583" t="s">
        <v>86</v>
      </c>
      <c r="C24" s="583"/>
      <c r="D24" s="114">
        <v>36329305</v>
      </c>
      <c r="E24" s="114">
        <v>19854380</v>
      </c>
      <c r="F24" s="114">
        <v>3719761</v>
      </c>
      <c r="G24" s="115">
        <v>1245475</v>
      </c>
      <c r="H24" s="322">
        <v>427077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6">
        <v>0</v>
      </c>
      <c r="R24" s="117">
        <v>0</v>
      </c>
    </row>
    <row r="25" spans="1:18" ht="51" customHeight="1">
      <c r="A25" s="94" t="s">
        <v>69</v>
      </c>
      <c r="B25" s="118" t="s">
        <v>74</v>
      </c>
      <c r="C25" s="119" t="s">
        <v>87</v>
      </c>
      <c r="D25" s="95">
        <v>16474925</v>
      </c>
      <c r="E25" s="95">
        <v>14712619</v>
      </c>
      <c r="F25" s="95">
        <v>0</v>
      </c>
      <c r="G25" s="120"/>
      <c r="H25" s="321">
        <v>375492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1">
        <v>0</v>
      </c>
      <c r="R25" s="122">
        <v>0</v>
      </c>
    </row>
    <row r="26" spans="1:18" ht="33.75" customHeight="1">
      <c r="A26" s="110">
        <v>5</v>
      </c>
      <c r="B26" s="583" t="s">
        <v>88</v>
      </c>
      <c r="C26" s="583"/>
      <c r="D26" s="114">
        <v>0</v>
      </c>
      <c r="E26" s="114">
        <v>0</v>
      </c>
      <c r="F26" s="111">
        <v>0</v>
      </c>
      <c r="G26" s="115">
        <v>0</v>
      </c>
      <c r="H26" s="320">
        <v>0</v>
      </c>
      <c r="I26" s="111">
        <v>0</v>
      </c>
      <c r="J26" s="111">
        <v>0</v>
      </c>
      <c r="K26" s="104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2">
        <v>0</v>
      </c>
      <c r="R26" s="113">
        <v>0</v>
      </c>
    </row>
    <row r="27" spans="1:18" ht="20.25" customHeight="1">
      <c r="A27" s="110">
        <v>6</v>
      </c>
      <c r="B27" s="583" t="s">
        <v>89</v>
      </c>
      <c r="C27" s="583"/>
      <c r="D27" s="111">
        <f aca="true" t="shared" si="4" ref="D27:R27">D23+D24+D26</f>
        <v>56706088</v>
      </c>
      <c r="E27" s="111">
        <f t="shared" si="4"/>
        <v>37370217</v>
      </c>
      <c r="F27" s="111">
        <f t="shared" si="4"/>
        <v>13868249</v>
      </c>
      <c r="G27" s="115">
        <f>G23+G24+G26</f>
        <v>10311681</v>
      </c>
      <c r="H27" s="320">
        <f>H23+H24+H26</f>
        <v>22599630</v>
      </c>
      <c r="I27" s="111">
        <f>I23+I24+I26</f>
        <v>75168634</v>
      </c>
      <c r="J27" s="111">
        <f t="shared" si="4"/>
        <v>80845054</v>
      </c>
      <c r="K27" s="104">
        <f t="shared" si="4"/>
        <v>24916854</v>
      </c>
      <c r="L27" s="111">
        <f>L23+L24+L26</f>
        <v>37138006</v>
      </c>
      <c r="M27" s="111">
        <f t="shared" si="4"/>
        <v>17959506</v>
      </c>
      <c r="N27" s="111">
        <f t="shared" si="4"/>
        <v>18230863</v>
      </c>
      <c r="O27" s="111">
        <f t="shared" si="4"/>
        <v>6121359</v>
      </c>
      <c r="P27" s="111">
        <f t="shared" si="4"/>
        <v>4165799</v>
      </c>
      <c r="Q27" s="112">
        <f t="shared" si="4"/>
        <v>5775051</v>
      </c>
      <c r="R27" s="113">
        <f t="shared" si="4"/>
        <v>16719456</v>
      </c>
    </row>
    <row r="28" spans="1:18" ht="20.25" customHeight="1">
      <c r="A28" s="110">
        <v>7</v>
      </c>
      <c r="B28" s="583" t="s">
        <v>90</v>
      </c>
      <c r="C28" s="583"/>
      <c r="D28" s="114">
        <f aca="true" t="shared" si="5" ref="D28:R28">D29+D33</f>
        <v>1473579</v>
      </c>
      <c r="E28" s="114">
        <f t="shared" si="5"/>
        <v>1883950</v>
      </c>
      <c r="F28" s="114">
        <f t="shared" si="5"/>
        <v>4502192</v>
      </c>
      <c r="G28" s="115">
        <f>G29+G33</f>
        <v>9065858</v>
      </c>
      <c r="H28" s="322">
        <f t="shared" si="5"/>
        <v>6883561</v>
      </c>
      <c r="I28" s="114">
        <v>9232930</v>
      </c>
      <c r="J28" s="114">
        <f t="shared" si="5"/>
        <v>9953843</v>
      </c>
      <c r="K28" s="115">
        <f t="shared" si="5"/>
        <v>9376854</v>
      </c>
      <c r="L28" s="114">
        <f t="shared" si="5"/>
        <v>8138006</v>
      </c>
      <c r="M28" s="114">
        <f t="shared" si="5"/>
        <v>7959506</v>
      </c>
      <c r="N28" s="114">
        <f t="shared" si="5"/>
        <v>8230863</v>
      </c>
      <c r="O28" s="114">
        <f t="shared" si="5"/>
        <v>6121359.26</v>
      </c>
      <c r="P28" s="114">
        <f t="shared" si="5"/>
        <v>4165798.54</v>
      </c>
      <c r="Q28" s="123">
        <f t="shared" si="5"/>
        <v>3775051.43</v>
      </c>
      <c r="R28" s="124">
        <f t="shared" si="5"/>
        <v>4719456.3225</v>
      </c>
    </row>
    <row r="29" spans="1:19" s="19" customFormat="1" ht="36" customHeight="1">
      <c r="A29" s="125" t="s">
        <v>69</v>
      </c>
      <c r="B29" s="616" t="s">
        <v>91</v>
      </c>
      <c r="C29" s="616"/>
      <c r="D29" s="120">
        <v>1167600</v>
      </c>
      <c r="E29" s="97">
        <v>1422000</v>
      </c>
      <c r="F29" s="97">
        <v>3463314</v>
      </c>
      <c r="G29" s="120">
        <v>6940085</v>
      </c>
      <c r="H29" s="319">
        <v>4551585</v>
      </c>
      <c r="I29" s="97">
        <f>SUM(I30:I32)</f>
        <v>6935040</v>
      </c>
      <c r="J29" s="97">
        <f>SUM(J30:J32)</f>
        <v>7266899</v>
      </c>
      <c r="K29" s="97">
        <f aca="true" t="shared" si="6" ref="K29:R29">SUM(K30:K32)</f>
        <v>7106453</v>
      </c>
      <c r="L29" s="97">
        <f t="shared" si="6"/>
        <v>6150000</v>
      </c>
      <c r="M29" s="97">
        <f t="shared" si="6"/>
        <v>6250000</v>
      </c>
      <c r="N29" s="97">
        <f t="shared" si="6"/>
        <v>6801170</v>
      </c>
      <c r="O29" s="97">
        <f t="shared" si="6"/>
        <v>5062028</v>
      </c>
      <c r="P29" s="97">
        <f t="shared" si="6"/>
        <v>3450523</v>
      </c>
      <c r="Q29" s="97">
        <f t="shared" si="6"/>
        <v>3300000</v>
      </c>
      <c r="R29" s="97">
        <f t="shared" si="6"/>
        <v>4523949</v>
      </c>
      <c r="S29" s="30"/>
    </row>
    <row r="30" spans="1:19" s="19" customFormat="1" ht="19.5" customHeight="1">
      <c r="A30" s="125"/>
      <c r="B30" s="617" t="s">
        <v>74</v>
      </c>
      <c r="C30" s="126" t="s">
        <v>92</v>
      </c>
      <c r="D30" s="120">
        <v>1167600</v>
      </c>
      <c r="E30" s="97">
        <v>1422000</v>
      </c>
      <c r="F30" s="97">
        <v>2963314</v>
      </c>
      <c r="G30" s="120">
        <v>3340085</v>
      </c>
      <c r="H30" s="319">
        <v>2141585</v>
      </c>
      <c r="I30" s="97">
        <f>Arkusz5!J9</f>
        <v>3535040</v>
      </c>
      <c r="J30" s="97">
        <f>Arkusz5!J13</f>
        <v>3666899</v>
      </c>
      <c r="K30" s="97">
        <f>Arkusz5!J17</f>
        <v>3506453</v>
      </c>
      <c r="L30" s="97">
        <f>Arkusz5!J21</f>
        <v>2550000</v>
      </c>
      <c r="M30" s="97">
        <f>Arkusz5!J25</f>
        <v>2550000</v>
      </c>
      <c r="N30" s="97">
        <f>Arkusz5!J29</f>
        <v>2401170</v>
      </c>
      <c r="O30" s="97">
        <f>Arkusz5!J33</f>
        <v>62028</v>
      </c>
      <c r="P30" s="97">
        <f>Arkusz5!J37</f>
        <v>750523</v>
      </c>
      <c r="Q30" s="101">
        <f>Arkusz5!J41</f>
        <v>600000</v>
      </c>
      <c r="R30" s="102">
        <f>Arkusz5!J45</f>
        <v>423949</v>
      </c>
      <c r="S30" s="30"/>
    </row>
    <row r="31" spans="1:19" s="19" customFormat="1" ht="19.5" customHeight="1">
      <c r="A31" s="125"/>
      <c r="B31" s="617"/>
      <c r="C31" s="126" t="s">
        <v>93</v>
      </c>
      <c r="D31" s="120"/>
      <c r="E31" s="97"/>
      <c r="F31" s="97">
        <v>500000</v>
      </c>
      <c r="G31" s="120">
        <v>3600000</v>
      </c>
      <c r="H31" s="319">
        <v>410000</v>
      </c>
      <c r="I31" s="97">
        <v>400000</v>
      </c>
      <c r="J31" s="97">
        <v>600000</v>
      </c>
      <c r="K31" s="97">
        <v>600000</v>
      </c>
      <c r="L31" s="97">
        <v>600000</v>
      </c>
      <c r="M31" s="97">
        <v>700000</v>
      </c>
      <c r="N31" s="97">
        <v>1400000</v>
      </c>
      <c r="O31" s="97"/>
      <c r="P31" s="97"/>
      <c r="Q31" s="101"/>
      <c r="R31" s="102"/>
      <c r="S31" s="30"/>
    </row>
    <row r="32" spans="1:19" s="19" customFormat="1" ht="19.5" customHeight="1">
      <c r="A32" s="125"/>
      <c r="B32" s="617"/>
      <c r="C32" s="126" t="s">
        <v>94</v>
      </c>
      <c r="D32" s="120"/>
      <c r="E32" s="97"/>
      <c r="F32" s="97"/>
      <c r="G32" s="120"/>
      <c r="H32" s="319">
        <v>2000000</v>
      </c>
      <c r="I32" s="97">
        <f>'spł obligacji'!J9</f>
        <v>3000000</v>
      </c>
      <c r="J32" s="97">
        <f>'spł obligacji'!J13</f>
        <v>3000000</v>
      </c>
      <c r="K32" s="97">
        <f>'spł obligacji'!J17</f>
        <v>3000000</v>
      </c>
      <c r="L32" s="97">
        <f>'spł obligacji'!J21</f>
        <v>3000000</v>
      </c>
      <c r="M32" s="97">
        <f>'spł obligacji'!J25</f>
        <v>3000000</v>
      </c>
      <c r="N32" s="97">
        <f>'spł obligacji'!J29</f>
        <v>3000000</v>
      </c>
      <c r="O32" s="97">
        <f>'spł obligacji'!J33</f>
        <v>5000000</v>
      </c>
      <c r="P32" s="97">
        <f>'spł obligacji'!J37</f>
        <v>2700000</v>
      </c>
      <c r="Q32" s="101">
        <f>'spł obligacji'!J41</f>
        <v>2700000</v>
      </c>
      <c r="R32" s="102">
        <f>'spł obligacji'!J45</f>
        <v>4100000</v>
      </c>
      <c r="S32" s="30"/>
    </row>
    <row r="33" spans="1:18" ht="20.25" customHeight="1">
      <c r="A33" s="94" t="s">
        <v>71</v>
      </c>
      <c r="B33" s="584" t="s">
        <v>95</v>
      </c>
      <c r="C33" s="584"/>
      <c r="D33" s="95">
        <v>305979</v>
      </c>
      <c r="E33" s="96">
        <v>461950</v>
      </c>
      <c r="F33" s="96">
        <v>1038878</v>
      </c>
      <c r="G33" s="120">
        <v>2125773</v>
      </c>
      <c r="H33" s="319">
        <v>2331976</v>
      </c>
      <c r="I33" s="96">
        <f>Arkusz5!K9+'spł obligacji'!K4+161250</f>
        <v>2297890</v>
      </c>
      <c r="J33" s="96">
        <f>'spł obligacji'!K13+Arkusz5!K13+146250</f>
        <v>2686944</v>
      </c>
      <c r="K33" s="97">
        <f>'spł obligacji'!K17+Arkusz5!K17+123750</f>
        <v>2270401</v>
      </c>
      <c r="L33" s="96">
        <f>'spł obligacji'!K21+Arkusz5!K21+101250</f>
        <v>1988006</v>
      </c>
      <c r="M33" s="96">
        <f>'spł obligacji'!K25+Arkusz5!K25+78750</f>
        <v>1709506</v>
      </c>
      <c r="N33" s="96">
        <f>'spł obligacji'!K29+Arkusz5!K29+52500</f>
        <v>1429693</v>
      </c>
      <c r="O33" s="96">
        <f>'spł obligacji'!K33+Arkusz5!K33</f>
        <v>1059331.26</v>
      </c>
      <c r="P33" s="96">
        <f>'spł obligacji'!K37+Arkusz5!K37</f>
        <v>715275.5400000002</v>
      </c>
      <c r="Q33" s="98">
        <f>Arkusz5!K41+'spł obligacji'!K41</f>
        <v>475051.43</v>
      </c>
      <c r="R33" s="99">
        <f>'spł obligacji'!K45+Arkusz5!K45</f>
        <v>195507.32250000004</v>
      </c>
    </row>
    <row r="34" spans="1:18" ht="20.25" customHeight="1">
      <c r="A34" s="110">
        <v>8</v>
      </c>
      <c r="B34" s="583" t="s">
        <v>96</v>
      </c>
      <c r="C34" s="583"/>
      <c r="D34" s="114">
        <v>0</v>
      </c>
      <c r="E34" s="111">
        <v>0</v>
      </c>
      <c r="F34" s="111">
        <v>0</v>
      </c>
      <c r="G34" s="115">
        <v>40000</v>
      </c>
      <c r="H34" s="320">
        <v>0</v>
      </c>
      <c r="I34" s="111">
        <v>0</v>
      </c>
      <c r="J34" s="111">
        <v>0</v>
      </c>
      <c r="K34" s="104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2">
        <v>0</v>
      </c>
      <c r="R34" s="113">
        <v>0</v>
      </c>
    </row>
    <row r="35" spans="1:18" ht="37.5" customHeight="1">
      <c r="A35" s="103">
        <v>9</v>
      </c>
      <c r="B35" s="585" t="s">
        <v>222</v>
      </c>
      <c r="C35" s="585"/>
      <c r="D35" s="104">
        <f aca="true" t="shared" si="7" ref="D35:P35">D27-D28-D34</f>
        <v>55232509</v>
      </c>
      <c r="E35" s="104">
        <f t="shared" si="7"/>
        <v>35486267</v>
      </c>
      <c r="F35" s="104">
        <f t="shared" si="7"/>
        <v>9366057</v>
      </c>
      <c r="G35" s="115">
        <f>G27-G28-G34</f>
        <v>1205823</v>
      </c>
      <c r="H35" s="320">
        <f>H27-H28-H34</f>
        <v>15716069</v>
      </c>
      <c r="I35" s="104">
        <f>I27-I28-I34</f>
        <v>65935704</v>
      </c>
      <c r="J35" s="104">
        <f>J27-J28-J34</f>
        <v>70891211</v>
      </c>
      <c r="K35" s="104">
        <f t="shared" si="7"/>
        <v>15540000</v>
      </c>
      <c r="L35" s="104">
        <f t="shared" si="7"/>
        <v>29000000</v>
      </c>
      <c r="M35" s="104">
        <f t="shared" si="7"/>
        <v>10000000</v>
      </c>
      <c r="N35" s="104">
        <f t="shared" si="7"/>
        <v>10000000</v>
      </c>
      <c r="O35" s="104">
        <f t="shared" si="7"/>
        <v>-0.2599999997764826</v>
      </c>
      <c r="P35" s="104">
        <f t="shared" si="7"/>
        <v>0.4599999999627471</v>
      </c>
      <c r="Q35" s="105">
        <f>Q36</f>
        <v>2000000</v>
      </c>
      <c r="R35" s="106">
        <f>R36</f>
        <v>12000000</v>
      </c>
    </row>
    <row r="36" spans="1:18" ht="20.25" customHeight="1">
      <c r="A36" s="103">
        <v>10</v>
      </c>
      <c r="B36" s="585" t="s">
        <v>97</v>
      </c>
      <c r="C36" s="585"/>
      <c r="D36" s="115">
        <v>38733128.64</v>
      </c>
      <c r="E36" s="104">
        <v>43312675.57</v>
      </c>
      <c r="F36" s="104">
        <v>33260582</v>
      </c>
      <c r="G36" s="115">
        <v>9778746</v>
      </c>
      <c r="H36" s="320">
        <v>29316069</v>
      </c>
      <c r="I36" s="104">
        <f aca="true" t="shared" si="8" ref="I36:P36">I37</f>
        <v>65935704</v>
      </c>
      <c r="J36" s="104">
        <f>J37</f>
        <v>70891211</v>
      </c>
      <c r="K36" s="104">
        <f t="shared" si="8"/>
        <v>15540000</v>
      </c>
      <c r="L36" s="104">
        <f t="shared" si="8"/>
        <v>29000000</v>
      </c>
      <c r="M36" s="104">
        <v>10000000</v>
      </c>
      <c r="N36" s="104">
        <v>10000000</v>
      </c>
      <c r="O36" s="104">
        <f t="shared" si="8"/>
        <v>0</v>
      </c>
      <c r="P36" s="104">
        <f t="shared" si="8"/>
        <v>0</v>
      </c>
      <c r="Q36" s="104">
        <v>2000000</v>
      </c>
      <c r="R36" s="104">
        <v>12000000</v>
      </c>
    </row>
    <row r="37" spans="1:18" ht="36" customHeight="1">
      <c r="A37" s="94" t="s">
        <v>69</v>
      </c>
      <c r="B37" s="127" t="s">
        <v>74</v>
      </c>
      <c r="C37" s="100" t="s">
        <v>98</v>
      </c>
      <c r="D37" s="95" t="s">
        <v>84</v>
      </c>
      <c r="E37" s="96" t="s">
        <v>84</v>
      </c>
      <c r="F37" s="96" t="s">
        <v>84</v>
      </c>
      <c r="G37" s="120" t="s">
        <v>84</v>
      </c>
      <c r="H37" s="319">
        <f>'Wykaz przedsięwzięć'!L15</f>
        <v>12708223</v>
      </c>
      <c r="I37" s="97">
        <f>'Wykaz przedsięwzięć'!M13</f>
        <v>65935704</v>
      </c>
      <c r="J37" s="97">
        <f>'Wykaz przedsięwzięć'!N13</f>
        <v>70891211</v>
      </c>
      <c r="K37" s="97">
        <f>'Wykaz przedsięwzięć'!O14</f>
        <v>15540000</v>
      </c>
      <c r="L37" s="97">
        <f>'Wykaz przedsięwzięć'!P14</f>
        <v>29000000</v>
      </c>
      <c r="M37" s="97"/>
      <c r="N37" s="97"/>
      <c r="O37" s="97"/>
      <c r="P37" s="97"/>
      <c r="Q37" s="101"/>
      <c r="R37" s="102"/>
    </row>
    <row r="38" spans="1:18" ht="15">
      <c r="A38" s="128"/>
      <c r="B38" s="129"/>
      <c r="C38" s="130"/>
      <c r="D38" s="131"/>
      <c r="E38" s="132"/>
      <c r="F38" s="132"/>
      <c r="G38" s="315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ht="15">
      <c r="A39" s="134"/>
      <c r="B39" s="135"/>
      <c r="C39" s="136"/>
      <c r="D39" s="137"/>
      <c r="E39" s="138"/>
      <c r="F39" s="138"/>
      <c r="G39" s="31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ht="15">
      <c r="A40" s="134"/>
      <c r="B40" s="135"/>
      <c r="C40" s="136"/>
      <c r="D40" s="137"/>
      <c r="E40" s="138"/>
      <c r="F40" s="138"/>
      <c r="G40" s="316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ht="24" customHeight="1">
      <c r="A41" s="134"/>
      <c r="B41" s="135"/>
      <c r="C41" s="136"/>
      <c r="D41" s="137"/>
      <c r="E41" s="138"/>
      <c r="F41" s="138"/>
      <c r="G41" s="316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>
      <c r="A42" s="134"/>
      <c r="B42" s="135"/>
      <c r="C42" s="136"/>
      <c r="D42" s="137"/>
      <c r="E42" s="138"/>
      <c r="F42" s="138"/>
      <c r="G42" s="316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ht="27" customHeight="1">
      <c r="A43" s="134"/>
      <c r="B43" s="135"/>
      <c r="C43" s="136"/>
      <c r="D43" s="137"/>
      <c r="E43" s="138"/>
      <c r="F43" s="138"/>
      <c r="G43" s="316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ht="29.25" customHeight="1">
      <c r="A44" s="134"/>
      <c r="B44" s="135"/>
      <c r="C44" s="136"/>
      <c r="D44" s="137"/>
      <c r="E44" s="138"/>
      <c r="F44" s="138"/>
      <c r="G44" s="316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ht="15">
      <c r="A45" s="134"/>
      <c r="B45" s="135"/>
      <c r="C45" s="136"/>
      <c r="D45" s="137"/>
      <c r="E45" s="138"/>
      <c r="F45" s="138"/>
      <c r="G45" s="316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18" ht="15">
      <c r="A46" s="134"/>
      <c r="B46" s="135"/>
      <c r="C46" s="136"/>
      <c r="D46" s="137"/>
      <c r="E46" s="138"/>
      <c r="F46" s="138"/>
      <c r="G46" s="316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ht="18" customHeight="1">
      <c r="A47" s="134"/>
      <c r="B47" s="135"/>
      <c r="C47" s="136"/>
      <c r="D47" s="137"/>
      <c r="E47" s="138"/>
      <c r="F47" s="138"/>
      <c r="G47" s="316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6.75" customHeight="1">
      <c r="A48" s="134"/>
      <c r="B48" s="135"/>
      <c r="C48" s="136"/>
      <c r="D48" s="137"/>
      <c r="E48" s="138"/>
      <c r="F48" s="138"/>
      <c r="G48" s="316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ht="14.25" customHeight="1" thickBot="1">
      <c r="A49" s="607" t="s">
        <v>63</v>
      </c>
      <c r="B49" s="600" t="s">
        <v>64</v>
      </c>
      <c r="C49" s="600"/>
      <c r="D49" s="600" t="s">
        <v>65</v>
      </c>
      <c r="E49" s="600"/>
      <c r="F49" s="600"/>
      <c r="G49" s="600"/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</row>
    <row r="50" spans="1:18" ht="14.25" customHeight="1" thickBot="1">
      <c r="A50" s="607"/>
      <c r="B50" s="600"/>
      <c r="C50" s="600"/>
      <c r="D50" s="580" t="s">
        <v>66</v>
      </c>
      <c r="E50" s="581"/>
      <c r="F50" s="581"/>
      <c r="G50" s="613"/>
      <c r="H50" s="600" t="s">
        <v>67</v>
      </c>
      <c r="I50" s="600"/>
      <c r="J50" s="600"/>
      <c r="K50" s="600"/>
      <c r="L50" s="600"/>
      <c r="M50" s="600"/>
      <c r="N50" s="600"/>
      <c r="O50" s="600"/>
      <c r="P50" s="600"/>
      <c r="Q50" s="600"/>
      <c r="R50" s="600"/>
    </row>
    <row r="51" spans="1:18" ht="13.5" thickBot="1">
      <c r="A51" s="607"/>
      <c r="B51" s="600"/>
      <c r="C51" s="600"/>
      <c r="D51" s="607">
        <v>2007</v>
      </c>
      <c r="E51" s="607">
        <v>2008</v>
      </c>
      <c r="F51" s="607">
        <v>2009</v>
      </c>
      <c r="G51" s="614">
        <v>2010</v>
      </c>
      <c r="H51" s="608">
        <v>2011</v>
      </c>
      <c r="I51" s="607">
        <v>2012</v>
      </c>
      <c r="J51" s="607">
        <v>2013</v>
      </c>
      <c r="K51" s="607">
        <v>2014</v>
      </c>
      <c r="L51" s="607">
        <v>2015</v>
      </c>
      <c r="M51" s="607">
        <v>2016</v>
      </c>
      <c r="N51" s="607">
        <v>2017</v>
      </c>
      <c r="O51" s="607">
        <v>2018</v>
      </c>
      <c r="P51" s="607">
        <v>2019</v>
      </c>
      <c r="Q51" s="607">
        <v>2020</v>
      </c>
      <c r="R51" s="607">
        <v>2021</v>
      </c>
    </row>
    <row r="52" spans="1:18" ht="13.5" thickBot="1">
      <c r="A52" s="607"/>
      <c r="B52" s="600"/>
      <c r="C52" s="600"/>
      <c r="D52" s="607"/>
      <c r="E52" s="607"/>
      <c r="F52" s="607"/>
      <c r="G52" s="615"/>
      <c r="H52" s="608"/>
      <c r="I52" s="607"/>
      <c r="J52" s="607"/>
      <c r="K52" s="607"/>
      <c r="L52" s="607"/>
      <c r="M52" s="607"/>
      <c r="N52" s="607"/>
      <c r="O52" s="607"/>
      <c r="P52" s="607"/>
      <c r="Q52" s="607"/>
      <c r="R52" s="607"/>
    </row>
    <row r="53" spans="1:18" ht="27" customHeight="1">
      <c r="A53" s="110">
        <v>11</v>
      </c>
      <c r="B53" s="583" t="s">
        <v>99</v>
      </c>
      <c r="C53" s="583"/>
      <c r="D53" s="114">
        <v>3355000</v>
      </c>
      <c r="E53" s="111">
        <v>11546170</v>
      </c>
      <c r="F53" s="111">
        <v>25140000</v>
      </c>
      <c r="G53" s="115">
        <v>9000000</v>
      </c>
      <c r="H53" s="320">
        <f>SUM(H54:H57)</f>
        <v>13600000</v>
      </c>
      <c r="I53" s="111"/>
      <c r="J53" s="111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2">
        <v>0</v>
      </c>
      <c r="R53" s="113">
        <v>0</v>
      </c>
    </row>
    <row r="54" spans="1:18" ht="21" customHeight="1">
      <c r="A54" s="140"/>
      <c r="B54" s="595" t="s">
        <v>74</v>
      </c>
      <c r="C54" s="126" t="s">
        <v>92</v>
      </c>
      <c r="D54" s="96">
        <v>3355000</v>
      </c>
      <c r="E54" s="96">
        <v>7546170</v>
      </c>
      <c r="F54" s="96">
        <v>6330000</v>
      </c>
      <c r="G54" s="97"/>
      <c r="H54" s="319">
        <v>2100000</v>
      </c>
      <c r="I54" s="96"/>
      <c r="J54" s="141"/>
      <c r="K54" s="142"/>
      <c r="L54" s="141"/>
      <c r="M54" s="141"/>
      <c r="N54" s="141"/>
      <c r="O54" s="141"/>
      <c r="P54" s="141"/>
      <c r="Q54" s="143"/>
      <c r="R54" s="144"/>
    </row>
    <row r="55" spans="1:18" ht="21" customHeight="1">
      <c r="A55" s="171"/>
      <c r="B55" s="596"/>
      <c r="C55" s="126" t="s">
        <v>93</v>
      </c>
      <c r="D55" s="96"/>
      <c r="E55" s="96">
        <v>4000000</v>
      </c>
      <c r="F55" s="96">
        <v>4810000</v>
      </c>
      <c r="G55" s="97"/>
      <c r="H55" s="319">
        <v>0</v>
      </c>
      <c r="I55" s="96"/>
      <c r="J55" s="141"/>
      <c r="K55" s="142"/>
      <c r="L55" s="141"/>
      <c r="M55" s="141"/>
      <c r="N55" s="141"/>
      <c r="O55" s="141"/>
      <c r="P55" s="141"/>
      <c r="Q55" s="143"/>
      <c r="R55" s="144"/>
    </row>
    <row r="56" spans="1:18" ht="21" customHeight="1">
      <c r="A56" s="171"/>
      <c r="B56" s="596"/>
      <c r="C56" s="126" t="s">
        <v>223</v>
      </c>
      <c r="D56" s="96"/>
      <c r="E56" s="96"/>
      <c r="F56" s="96">
        <v>14000000</v>
      </c>
      <c r="G56" s="97">
        <v>9000000</v>
      </c>
      <c r="H56" s="319">
        <v>7000000</v>
      </c>
      <c r="I56" s="96"/>
      <c r="J56" s="141"/>
      <c r="K56" s="142"/>
      <c r="L56" s="141"/>
      <c r="M56" s="141"/>
      <c r="N56" s="141"/>
      <c r="O56" s="141"/>
      <c r="P56" s="141"/>
      <c r="Q56" s="143"/>
      <c r="R56" s="144"/>
    </row>
    <row r="57" spans="1:18" ht="36.75" customHeight="1">
      <c r="A57" s="171"/>
      <c r="B57" s="597"/>
      <c r="C57" s="126" t="s">
        <v>224</v>
      </c>
      <c r="D57" s="96"/>
      <c r="E57" s="96"/>
      <c r="F57" s="96"/>
      <c r="G57" s="97"/>
      <c r="H57" s="319">
        <v>4500000</v>
      </c>
      <c r="I57" s="96"/>
      <c r="J57" s="141"/>
      <c r="K57" s="142"/>
      <c r="L57" s="141"/>
      <c r="M57" s="141"/>
      <c r="N57" s="141"/>
      <c r="O57" s="141"/>
      <c r="P57" s="141"/>
      <c r="Q57" s="143"/>
      <c r="R57" s="144"/>
    </row>
    <row r="58" spans="1:18" ht="68.25" customHeight="1">
      <c r="A58" s="110" t="s">
        <v>69</v>
      </c>
      <c r="B58" s="598" t="s">
        <v>101</v>
      </c>
      <c r="C58" s="599"/>
      <c r="D58" s="96">
        <v>13695715</v>
      </c>
      <c r="E58" s="96">
        <v>15733115</v>
      </c>
      <c r="F58" s="96">
        <v>3719761</v>
      </c>
      <c r="G58" s="97">
        <v>1245475</v>
      </c>
      <c r="H58" s="319">
        <v>427077</v>
      </c>
      <c r="I58" s="96"/>
      <c r="J58" s="141"/>
      <c r="K58" s="142"/>
      <c r="L58" s="141"/>
      <c r="M58" s="141"/>
      <c r="N58" s="141"/>
      <c r="O58" s="141"/>
      <c r="P58" s="141"/>
      <c r="Q58" s="143"/>
      <c r="R58" s="144"/>
    </row>
    <row r="59" spans="1:18" ht="21" customHeight="1">
      <c r="A59" s="110" t="s">
        <v>71</v>
      </c>
      <c r="B59" s="598" t="s">
        <v>102</v>
      </c>
      <c r="C59" s="599"/>
      <c r="D59" s="96">
        <v>22633590</v>
      </c>
      <c r="E59" s="96">
        <v>4121265</v>
      </c>
      <c r="F59" s="96"/>
      <c r="G59" s="97"/>
      <c r="H59" s="319"/>
      <c r="I59" s="96"/>
      <c r="J59" s="141"/>
      <c r="K59" s="142"/>
      <c r="L59" s="141"/>
      <c r="M59" s="141"/>
      <c r="N59" s="141"/>
      <c r="O59" s="141"/>
      <c r="P59" s="141"/>
      <c r="Q59" s="143"/>
      <c r="R59" s="144"/>
    </row>
    <row r="60" spans="1:18" ht="29.25" customHeight="1">
      <c r="A60" s="145">
        <v>12</v>
      </c>
      <c r="B60" s="611" t="s">
        <v>103</v>
      </c>
      <c r="C60" s="611"/>
      <c r="D60" s="146">
        <f aca="true" t="shared" si="9" ref="D60:J60">D35-D36+D53</f>
        <v>19854380.36</v>
      </c>
      <c r="E60" s="146">
        <f t="shared" si="9"/>
        <v>3719761.4299999997</v>
      </c>
      <c r="F60" s="308">
        <f t="shared" si="9"/>
        <v>1245475</v>
      </c>
      <c r="G60" s="309">
        <f>G35-G36+G53</f>
        <v>427077</v>
      </c>
      <c r="H60" s="309">
        <f>H35-H36+H53</f>
        <v>0</v>
      </c>
      <c r="I60" s="147">
        <f>I35-I36+I53</f>
        <v>0</v>
      </c>
      <c r="J60" s="147">
        <f t="shared" si="9"/>
        <v>0</v>
      </c>
      <c r="K60" s="147">
        <f>K35-K36+K53</f>
        <v>0</v>
      </c>
      <c r="L60" s="146">
        <f aca="true" t="shared" si="10" ref="L60:R60">L35-L36-L53</f>
        <v>0</v>
      </c>
      <c r="M60" s="146">
        <f t="shared" si="10"/>
        <v>0</v>
      </c>
      <c r="N60" s="146">
        <f t="shared" si="10"/>
        <v>0</v>
      </c>
      <c r="O60" s="146">
        <f t="shared" si="10"/>
        <v>-0.2599999997764826</v>
      </c>
      <c r="P60" s="146">
        <f t="shared" si="10"/>
        <v>0.4599999999627471</v>
      </c>
      <c r="Q60" s="148">
        <f t="shared" si="10"/>
        <v>0</v>
      </c>
      <c r="R60" s="149">
        <f t="shared" si="10"/>
        <v>0</v>
      </c>
    </row>
    <row r="61" spans="1:19" ht="22.5" customHeight="1">
      <c r="A61" s="150">
        <v>13</v>
      </c>
      <c r="B61" s="594" t="s">
        <v>104</v>
      </c>
      <c r="C61" s="594"/>
      <c r="D61" s="114">
        <f>'Prognoza długu'!C10</f>
        <v>15733115</v>
      </c>
      <c r="E61" s="114">
        <f>'Prognoza długu'!D10</f>
        <v>24061046</v>
      </c>
      <c r="F61" s="114">
        <f>'Prognoza długu'!E10</f>
        <v>45737732</v>
      </c>
      <c r="G61" s="115">
        <f>'Prognoza długu'!F10</f>
        <v>47797647</v>
      </c>
      <c r="H61" s="322">
        <f>'Prognoza długu'!G10</f>
        <v>56846062</v>
      </c>
      <c r="I61" s="115">
        <f>'Prognoza długu'!H10</f>
        <v>49911022</v>
      </c>
      <c r="J61" s="115">
        <f>'Prognoza długu'!I10</f>
        <v>42644123</v>
      </c>
      <c r="K61" s="115">
        <f>'Prognoza długu'!J10</f>
        <v>35537670</v>
      </c>
      <c r="L61" s="115">
        <f>'Prognoza długu'!K10</f>
        <v>29387670</v>
      </c>
      <c r="M61" s="114">
        <f>'Prognoza długu'!L10</f>
        <v>23137670</v>
      </c>
      <c r="N61" s="114">
        <f>'Prognoza długu'!M10</f>
        <v>16336500</v>
      </c>
      <c r="O61" s="114">
        <f>'Prognoza długu'!N10</f>
        <v>11274472</v>
      </c>
      <c r="P61" s="114">
        <f>'Prognoza długu'!O10</f>
        <v>7823949</v>
      </c>
      <c r="Q61" s="123">
        <f>'Prognoza długu'!P10</f>
        <v>4523949</v>
      </c>
      <c r="R61" s="124">
        <f>'Prognoza długu'!Q10</f>
        <v>0</v>
      </c>
      <c r="S61" s="33"/>
    </row>
    <row r="62" spans="1:18" ht="65.25" customHeight="1">
      <c r="A62" s="609"/>
      <c r="B62" s="610" t="s">
        <v>74</v>
      </c>
      <c r="C62" s="100" t="s">
        <v>105</v>
      </c>
      <c r="D62" s="111">
        <v>0</v>
      </c>
      <c r="E62" s="111">
        <v>0</v>
      </c>
      <c r="F62" s="111">
        <v>0</v>
      </c>
      <c r="G62" s="104">
        <v>0</v>
      </c>
      <c r="H62" s="320">
        <v>2100000</v>
      </c>
      <c r="I62" s="104">
        <v>2050000</v>
      </c>
      <c r="J62" s="104">
        <v>2000000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</row>
    <row r="63" spans="1:18" ht="87.75" customHeight="1">
      <c r="A63" s="609"/>
      <c r="B63" s="610"/>
      <c r="C63" s="100" t="s">
        <v>240</v>
      </c>
      <c r="D63" s="111">
        <v>0</v>
      </c>
      <c r="E63" s="111">
        <v>0</v>
      </c>
      <c r="F63" s="111">
        <v>0</v>
      </c>
      <c r="G63" s="104">
        <v>0</v>
      </c>
      <c r="H63" s="320"/>
      <c r="I63" s="104">
        <v>50000</v>
      </c>
      <c r="J63" s="104">
        <v>50000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</row>
    <row r="64" spans="1:18" ht="66" customHeight="1">
      <c r="A64" s="150">
        <v>14</v>
      </c>
      <c r="B64" s="593" t="s">
        <v>106</v>
      </c>
      <c r="C64" s="593"/>
      <c r="D64" s="111">
        <v>0</v>
      </c>
      <c r="E64" s="111">
        <v>0</v>
      </c>
      <c r="F64" s="111">
        <v>0</v>
      </c>
      <c r="G64" s="104">
        <v>0</v>
      </c>
      <c r="H64" s="320">
        <v>0</v>
      </c>
      <c r="I64" s="104">
        <v>0</v>
      </c>
      <c r="J64" s="104">
        <v>0</v>
      </c>
      <c r="K64" s="104">
        <v>0</v>
      </c>
      <c r="L64" s="104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</row>
    <row r="65" spans="1:18" ht="39" customHeight="1">
      <c r="A65" s="150">
        <v>15</v>
      </c>
      <c r="B65" s="593" t="s">
        <v>228</v>
      </c>
      <c r="C65" s="593"/>
      <c r="D65" s="151">
        <f aca="true" t="shared" si="11" ref="D65:J65">D28/D13*100</f>
        <v>1.959634752176012</v>
      </c>
      <c r="E65" s="151">
        <f t="shared" si="11"/>
        <v>2.328259487896857</v>
      </c>
      <c r="F65" s="151">
        <f t="shared" si="11"/>
        <v>5.510659630018439</v>
      </c>
      <c r="G65" s="310">
        <f t="shared" si="11"/>
        <v>10.653694792951553</v>
      </c>
      <c r="H65" s="323">
        <f t="shared" si="11"/>
        <v>6.155009236724011</v>
      </c>
      <c r="I65" s="310">
        <f t="shared" si="11"/>
        <v>5.980077221368599</v>
      </c>
      <c r="J65" s="310">
        <f t="shared" si="11"/>
        <v>6.226394343377265</v>
      </c>
      <c r="K65" s="310"/>
      <c r="L65" s="310"/>
      <c r="M65" s="151"/>
      <c r="N65" s="151"/>
      <c r="O65" s="151"/>
      <c r="P65" s="151"/>
      <c r="Q65" s="151"/>
      <c r="R65" s="152"/>
    </row>
    <row r="66" spans="1:18" ht="39" customHeight="1">
      <c r="A66" s="150">
        <v>16</v>
      </c>
      <c r="B66" s="593" t="s">
        <v>227</v>
      </c>
      <c r="C66" s="593"/>
      <c r="D66" s="151">
        <f aca="true" t="shared" si="12" ref="D66:J66">D61/D13*100</f>
        <v>20.922637275627366</v>
      </c>
      <c r="E66" s="151">
        <f t="shared" si="12"/>
        <v>29.735586739681374</v>
      </c>
      <c r="F66" s="151">
        <f t="shared" si="12"/>
        <v>55.98274647127499</v>
      </c>
      <c r="G66" s="310">
        <f t="shared" si="12"/>
        <v>56.16915056018266</v>
      </c>
      <c r="H66" s="323">
        <f>H61/H13*100</f>
        <v>50.82951058055355</v>
      </c>
      <c r="I66" s="311">
        <f t="shared" si="12"/>
        <v>32.3268741079405</v>
      </c>
      <c r="J66" s="311">
        <f t="shared" si="12"/>
        <v>26.675036588931967</v>
      </c>
      <c r="K66" s="311"/>
      <c r="L66" s="311"/>
      <c r="M66" s="153"/>
      <c r="N66" s="153"/>
      <c r="O66" s="153"/>
      <c r="P66" s="153"/>
      <c r="Q66" s="153"/>
      <c r="R66" s="153"/>
    </row>
    <row r="67" spans="1:18" ht="66.75" customHeight="1">
      <c r="A67" s="154">
        <v>17</v>
      </c>
      <c r="B67" s="593" t="s">
        <v>107</v>
      </c>
      <c r="C67" s="593"/>
      <c r="D67" s="155" t="s">
        <v>73</v>
      </c>
      <c r="E67" s="155" t="s">
        <v>73</v>
      </c>
      <c r="F67" s="155" t="s">
        <v>73</v>
      </c>
      <c r="G67" s="312">
        <f>1/3*((D14+D16-'Prognoza długu'!C25)/WPF!D13+(WPF!E14+WPF!E16-'Prognoza długu'!D25)/WPF!E13+(WPF!F14+WPF!F16-'Prognoza długu'!E25)/WPF!F13)</f>
        <v>0.1910646731760649</v>
      </c>
      <c r="H67" s="324">
        <f>1/3*((E14+E16-'Prognoza długu'!D25)/WPF!E13+(WPF!F14+WPF!F16-'Prognoza długu'!E25)/WPF!F13+(WPF!G14+WPF!G16-'Prognoza długu'!F25)/WPF!G13)</f>
        <v>0.1291721492426357</v>
      </c>
      <c r="I67" s="312">
        <f>1/3*((F14+F16-'Prognoza długu'!E25)/WPF!F13+(WPF!G14+WPF!G16-'Prognoza długu'!F25)/WPF!G13+(WPF!H14+WPF!H16-'Prognoza długu'!G25)/WPF!H13)</f>
        <v>0.11169069667185756</v>
      </c>
      <c r="J67" s="312">
        <f>1/3*((G14+G16-'Prognoza długu'!F25)/WPF!G13+(WPF!H14+WPF!H16-'Prognoza długu'!G25)/WPF!H13+(WPF!I14+WPF!I16-'Prognoza długu'!H25)/WPF!I13)</f>
        <v>0.173726678239849</v>
      </c>
      <c r="K67" s="312">
        <f>1/3*((H14+H16-'Prognoza długu'!G25)/WPF!H13+(WPF!I14+WPF!I16-'Prognoza długu'!H25)/WPF!I13+(WPF!J14+WPF!J16-'Prognoza długu'!I25)/WPF!J13)</f>
        <v>0.24338178439695485</v>
      </c>
      <c r="L67" s="312">
        <f>1/3*((I14+I16-'Prognoza długu'!H25)/WPF!I13+(WPF!J14+WPF!J16-'Prognoza długu'!I25)/WPF!J13+(WPF!K14+WPF!K16-'Prognoza długu'!J25)/WPF!K13)</f>
        <v>0.26212455393654616</v>
      </c>
      <c r="M67" s="155">
        <f>1/3*((J14+J16-'Prognoza długu'!I25)/WPF!J13+(WPF!K14+WPF!K16-'Prognoza długu'!J25)/WPF!K13+(WPF!L14+WPF!L16-'Prognoza długu'!K25)/WPF!L13)</f>
        <v>0.23973441388325833</v>
      </c>
      <c r="N67" s="155">
        <f>1/3*((K14+K16-'Prognoza długu'!J25)/WPF!K13+(WPF!L14+WPF!L16-'Prognoza długu'!K25)/WPF!L13+(WPF!M14+WPF!M16-'Prognoza długu'!L25)/WPF!M13)</f>
        <v>0.19602497512362363</v>
      </c>
      <c r="O67" s="155">
        <f>1/3*((L14+L16-'Prognoza długu'!K25)/WPF!L13+(WPF!M14+WPF!M16-'Prognoza długu'!L25)/WPF!M13+(WPF!N14+WPF!N16-'Prognoza długu'!M25)/WPF!N13)</f>
        <v>0.17639009302935285</v>
      </c>
      <c r="P67" s="155">
        <f>1/3*((M14+M16-'Prognoza długu'!L25)/WPF!M13+(WPF!N14+WPF!N16-'Prognoza długu'!M25)/WPF!N13+(WPF!O14+WPF!O16-'Prognoza długu'!N25)/WPF!O13)</f>
        <v>0.11818883553926332</v>
      </c>
      <c r="Q67" s="155">
        <f>1/3*((N14+N16-'Prognoza długu'!M25)/WPF!N13+(WPF!O14+WPF!O16-'Prognoza długu'!N25)/WPF!O13+(WPF!P14+WPF!P16-'Prognoza długu'!O25)/WPF!P13)</f>
        <v>0.07740891882519615</v>
      </c>
      <c r="R67" s="155">
        <f>1/3*((O14+O16-'Prognoza długu'!N25)/WPF!O13+(WPF!P14+WPF!P16-'Prognoza długu'!O25)/WPF!P13+(WPF!Q14+WPF!Q16-'Prognoza długu'!P25)/WPF!Q13)</f>
        <v>0.04081875715619127</v>
      </c>
    </row>
    <row r="68" spans="1:18" ht="33.75" customHeight="1">
      <c r="A68" s="154">
        <v>18</v>
      </c>
      <c r="B68" s="593" t="s">
        <v>108</v>
      </c>
      <c r="C68" s="593"/>
      <c r="D68" s="156">
        <f>D28/D13</f>
        <v>0.01959634752176012</v>
      </c>
      <c r="E68" s="156">
        <f aca="true" t="shared" si="13" ref="E68:R68">E28/E13</f>
        <v>0.023282594878968572</v>
      </c>
      <c r="F68" s="156">
        <f t="shared" si="13"/>
        <v>0.055106596300184385</v>
      </c>
      <c r="G68" s="313">
        <f t="shared" si="13"/>
        <v>0.10653694792951553</v>
      </c>
      <c r="H68" s="325">
        <f t="shared" si="13"/>
        <v>0.06155009236724011</v>
      </c>
      <c r="I68" s="313">
        <f t="shared" si="13"/>
        <v>0.05980077221368599</v>
      </c>
      <c r="J68" s="313">
        <f t="shared" si="13"/>
        <v>0.06226394343377265</v>
      </c>
      <c r="K68" s="313">
        <f t="shared" si="13"/>
        <v>0.088755970249997</v>
      </c>
      <c r="L68" s="313">
        <f t="shared" si="13"/>
        <v>0.06852576532352617</v>
      </c>
      <c r="M68" s="156">
        <f t="shared" si="13"/>
        <v>0.07519720415314615</v>
      </c>
      <c r="N68" s="156">
        <f t="shared" si="13"/>
        <v>0.07615654018567442</v>
      </c>
      <c r="O68" s="156">
        <f t="shared" si="13"/>
        <v>0.05513219155360449</v>
      </c>
      <c r="P68" s="156">
        <f t="shared" si="13"/>
        <v>0.03764544886082038</v>
      </c>
      <c r="Q68" s="156">
        <f t="shared" si="13"/>
        <v>0.0325390376290527</v>
      </c>
      <c r="R68" s="156">
        <f t="shared" si="13"/>
        <v>0.03612050673709365</v>
      </c>
    </row>
    <row r="69" spans="1:18" ht="38.25" customHeight="1">
      <c r="A69" s="154">
        <v>19</v>
      </c>
      <c r="B69" s="593" t="s">
        <v>109</v>
      </c>
      <c r="C69" s="593"/>
      <c r="D69" s="155" t="s">
        <v>73</v>
      </c>
      <c r="E69" s="155" t="s">
        <v>73</v>
      </c>
      <c r="F69" s="155" t="s">
        <v>73</v>
      </c>
      <c r="G69" s="312">
        <f>G67-G68</f>
        <v>0.08452772524654938</v>
      </c>
      <c r="H69" s="324">
        <f aca="true" t="shared" si="14" ref="H69:R69">H67-H68</f>
        <v>0.0676220568753956</v>
      </c>
      <c r="I69" s="312">
        <f t="shared" si="14"/>
        <v>0.051889924458171574</v>
      </c>
      <c r="J69" s="312">
        <f t="shared" si="14"/>
        <v>0.11146273480607635</v>
      </c>
      <c r="K69" s="312">
        <f t="shared" si="14"/>
        <v>0.15462581414695786</v>
      </c>
      <c r="L69" s="312">
        <f t="shared" si="14"/>
        <v>0.19359878861302</v>
      </c>
      <c r="M69" s="312">
        <f t="shared" si="14"/>
        <v>0.16453720973011218</v>
      </c>
      <c r="N69" s="312">
        <f t="shared" si="14"/>
        <v>0.11986843493794921</v>
      </c>
      <c r="O69" s="312">
        <f t="shared" si="14"/>
        <v>0.12125790147574836</v>
      </c>
      <c r="P69" s="312">
        <f t="shared" si="14"/>
        <v>0.08054338667844294</v>
      </c>
      <c r="Q69" s="312">
        <f t="shared" si="14"/>
        <v>0.044869881196143456</v>
      </c>
      <c r="R69" s="312">
        <f t="shared" si="14"/>
        <v>0.004698250419097626</v>
      </c>
    </row>
    <row r="70" spans="1:18" ht="16.5" customHeight="1">
      <c r="A70" s="154">
        <v>20</v>
      </c>
      <c r="B70" s="593" t="s">
        <v>110</v>
      </c>
      <c r="C70" s="593"/>
      <c r="D70" s="157">
        <f>'Prognoza długu'!C24</f>
        <v>93858939.64</v>
      </c>
      <c r="E70" s="157">
        <f>'Prognoza długu'!D24</f>
        <v>107175456.57</v>
      </c>
      <c r="F70" s="157">
        <f>'Prognoza długu'!E24</f>
        <v>105850665</v>
      </c>
      <c r="G70" s="157">
        <f>'Prognoza długu'!F24</f>
        <v>87934218</v>
      </c>
      <c r="H70" s="326">
        <f>'Prognoza długu'!G24</f>
        <v>121312221</v>
      </c>
      <c r="I70" s="157">
        <f>'Prognoza długu'!H24</f>
        <v>147459789</v>
      </c>
      <c r="J70" s="157">
        <f>'Prognoza długu'!I24</f>
        <v>152598385</v>
      </c>
      <c r="K70" s="157">
        <f>'Prognoza długu'!J24</f>
        <v>98541133</v>
      </c>
      <c r="L70" s="157">
        <f>'Prognoza długu'!K24</f>
        <v>112608338</v>
      </c>
      <c r="M70" s="157">
        <f>'Prognoza długu'!L24</f>
        <v>99598430</v>
      </c>
      <c r="N70" s="157">
        <f>'Prognoza długu'!M24</f>
        <v>101277046</v>
      </c>
      <c r="O70" s="157">
        <f>'Prognoza długu'!N24</f>
        <v>105968553.26</v>
      </c>
      <c r="P70" s="157">
        <f>'Prognoza długu'!O24</f>
        <v>107208232.54</v>
      </c>
      <c r="Q70" s="157">
        <f>'Prognoza długu'!P24</f>
        <v>112716075.43</v>
      </c>
      <c r="R70" s="157">
        <f>'Prognoza długu'!Q24</f>
        <v>126134692.3225</v>
      </c>
    </row>
    <row r="71" spans="1:18" ht="16.5" customHeight="1">
      <c r="A71" s="154">
        <v>21</v>
      </c>
      <c r="B71" s="593" t="s">
        <v>111</v>
      </c>
      <c r="C71" s="593"/>
      <c r="D71" s="157">
        <f>'Prognoza długu'!C25</f>
        <v>55125811</v>
      </c>
      <c r="E71" s="157">
        <f>'Prognoza długu'!D25</f>
        <v>63862781</v>
      </c>
      <c r="F71" s="157">
        <f>'Prognoza długu'!E25</f>
        <v>72590083</v>
      </c>
      <c r="G71" s="157">
        <f>'Prognoza długu'!F25</f>
        <v>78155472</v>
      </c>
      <c r="H71" s="326">
        <f>'Prognoza długu'!G25</f>
        <v>91996152</v>
      </c>
      <c r="I71" s="157">
        <f>'Prognoza długu'!H25</f>
        <v>81524085</v>
      </c>
      <c r="J71" s="157">
        <f>'Prognoza długu'!I25</f>
        <v>81707174</v>
      </c>
      <c r="K71" s="157">
        <f>'Prognoza długu'!J25</f>
        <v>83001133</v>
      </c>
      <c r="L71" s="157">
        <f>'Prognoza długu'!K25</f>
        <v>83608338</v>
      </c>
      <c r="M71" s="157">
        <f>'Prognoza długu'!L25</f>
        <v>89598430</v>
      </c>
      <c r="N71" s="157">
        <f>'Prognoza długu'!M25</f>
        <v>91277046</v>
      </c>
      <c r="O71" s="157">
        <f>'Prognoza długu'!N25</f>
        <v>105968553.26</v>
      </c>
      <c r="P71" s="157">
        <f>'Prognoza długu'!O25</f>
        <v>107208232.54</v>
      </c>
      <c r="Q71" s="157">
        <f>'Prognoza długu'!P25</f>
        <v>110716075.43</v>
      </c>
      <c r="R71" s="157">
        <f>'Prognoza długu'!Q25</f>
        <v>114134692.3225</v>
      </c>
    </row>
    <row r="72" spans="1:18" ht="35.25" customHeight="1">
      <c r="A72" s="154">
        <v>22</v>
      </c>
      <c r="B72" s="593" t="s">
        <v>141</v>
      </c>
      <c r="C72" s="593"/>
      <c r="D72" s="157">
        <f>D13-D70</f>
        <v>-18662324.64</v>
      </c>
      <c r="E72" s="157">
        <f aca="true" t="shared" si="15" ref="E72:Q72">E13-E70</f>
        <v>-26258788.569999993</v>
      </c>
      <c r="F72" s="157">
        <f t="shared" si="15"/>
        <v>-24150972</v>
      </c>
      <c r="G72" s="157">
        <f t="shared" si="15"/>
        <v>-2838313</v>
      </c>
      <c r="H72" s="326">
        <f>H13-H70</f>
        <v>-9475492</v>
      </c>
      <c r="I72" s="157">
        <f t="shared" si="15"/>
        <v>6935040</v>
      </c>
      <c r="J72" s="157">
        <f t="shared" si="15"/>
        <v>7266899</v>
      </c>
      <c r="K72" s="157">
        <f t="shared" si="15"/>
        <v>7106453</v>
      </c>
      <c r="L72" s="157">
        <f t="shared" si="15"/>
        <v>6150000</v>
      </c>
      <c r="M72" s="157">
        <f t="shared" si="15"/>
        <v>6250000</v>
      </c>
      <c r="N72" s="157">
        <f t="shared" si="15"/>
        <v>6801170</v>
      </c>
      <c r="O72" s="157">
        <f t="shared" si="15"/>
        <v>5062027.739999995</v>
      </c>
      <c r="P72" s="157">
        <f t="shared" si="15"/>
        <v>3450523.4599999934</v>
      </c>
      <c r="Q72" s="157">
        <f t="shared" si="15"/>
        <v>3299999.569999993</v>
      </c>
      <c r="R72" s="157">
        <f>R13-R70</f>
        <v>4523948.677499995</v>
      </c>
    </row>
    <row r="73" spans="1:18" ht="17.25" customHeight="1">
      <c r="A73" s="150">
        <v>23</v>
      </c>
      <c r="B73" s="606" t="s">
        <v>218</v>
      </c>
      <c r="C73" s="602"/>
      <c r="D73" s="111">
        <f>SUM(D74:D78)</f>
        <v>3355000</v>
      </c>
      <c r="E73" s="111">
        <f>SUM(E74:E78)</f>
        <v>26258789</v>
      </c>
      <c r="F73" s="111">
        <f>SUM(F74:F78)</f>
        <v>24150972</v>
      </c>
      <c r="G73" s="111">
        <f>SUM(G74:G78)</f>
        <v>2838313</v>
      </c>
      <c r="H73" s="320">
        <f>SUM(H74:H78)</f>
        <v>9475492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18" ht="15" customHeight="1">
      <c r="A74" s="158" t="s">
        <v>69</v>
      </c>
      <c r="B74" s="601" t="s">
        <v>92</v>
      </c>
      <c r="C74" s="602"/>
      <c r="D74" s="96">
        <v>3355000</v>
      </c>
      <c r="E74" s="96">
        <v>7546170</v>
      </c>
      <c r="F74" s="96">
        <v>6330000</v>
      </c>
      <c r="G74" s="96"/>
      <c r="H74" s="319">
        <v>2100000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1:18" ht="15" customHeight="1">
      <c r="A75" s="158" t="s">
        <v>71</v>
      </c>
      <c r="B75" s="601" t="s">
        <v>93</v>
      </c>
      <c r="C75" s="602"/>
      <c r="D75" s="96"/>
      <c r="E75" s="96">
        <v>4000000</v>
      </c>
      <c r="F75" s="96">
        <v>4810000</v>
      </c>
      <c r="G75" s="96"/>
      <c r="H75" s="319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1:18" ht="15" customHeight="1">
      <c r="A76" s="158" t="s">
        <v>79</v>
      </c>
      <c r="B76" s="601" t="s">
        <v>216</v>
      </c>
      <c r="C76" s="602"/>
      <c r="D76" s="96"/>
      <c r="E76" s="96">
        <v>2699265</v>
      </c>
      <c r="F76" s="96"/>
      <c r="G76" s="96"/>
      <c r="H76" s="319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1:18" ht="15" customHeight="1">
      <c r="A77" s="158" t="s">
        <v>82</v>
      </c>
      <c r="B77" s="598" t="s">
        <v>101</v>
      </c>
      <c r="C77" s="602"/>
      <c r="D77" s="96"/>
      <c r="E77" s="96">
        <v>12013354</v>
      </c>
      <c r="F77" s="96"/>
      <c r="G77" s="96"/>
      <c r="H77" s="319">
        <v>375492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9" ht="15" customHeight="1">
      <c r="A78" s="158" t="s">
        <v>143</v>
      </c>
      <c r="B78" s="604" t="s">
        <v>221</v>
      </c>
      <c r="C78" s="605"/>
      <c r="D78" s="96"/>
      <c r="E78" s="96"/>
      <c r="F78" s="96">
        <v>13010972</v>
      </c>
      <c r="G78" s="96">
        <v>2838313</v>
      </c>
      <c r="H78" s="319">
        <v>7000000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306"/>
    </row>
    <row r="79" spans="1:19" ht="17.25" customHeight="1">
      <c r="A79" s="150">
        <v>24</v>
      </c>
      <c r="B79" s="606" t="s">
        <v>219</v>
      </c>
      <c r="C79" s="602"/>
      <c r="D79" s="111"/>
      <c r="E79" s="111"/>
      <c r="F79" s="111"/>
      <c r="G79" s="111"/>
      <c r="H79" s="320"/>
      <c r="I79" s="157">
        <f>SUM(I80:I82)</f>
        <v>6935040</v>
      </c>
      <c r="J79" s="157">
        <f aca="true" t="shared" si="16" ref="J79:R79">SUM(J80:J82)</f>
        <v>7266899</v>
      </c>
      <c r="K79" s="157">
        <f t="shared" si="16"/>
        <v>7106453</v>
      </c>
      <c r="L79" s="157">
        <f t="shared" si="16"/>
        <v>6150000</v>
      </c>
      <c r="M79" s="157">
        <f t="shared" si="16"/>
        <v>6250000</v>
      </c>
      <c r="N79" s="157">
        <f t="shared" si="16"/>
        <v>6801170</v>
      </c>
      <c r="O79" s="157">
        <f t="shared" si="16"/>
        <v>5062028</v>
      </c>
      <c r="P79" s="157">
        <f t="shared" si="16"/>
        <v>3450523</v>
      </c>
      <c r="Q79" s="157">
        <f t="shared" si="16"/>
        <v>3300000</v>
      </c>
      <c r="R79" s="157">
        <f t="shared" si="16"/>
        <v>4523949</v>
      </c>
      <c r="S79" s="307"/>
    </row>
    <row r="80" spans="1:19" ht="15" customHeight="1">
      <c r="A80" s="159" t="s">
        <v>69</v>
      </c>
      <c r="B80" s="601" t="s">
        <v>215</v>
      </c>
      <c r="C80" s="602"/>
      <c r="D80" s="120"/>
      <c r="E80" s="97"/>
      <c r="F80" s="97"/>
      <c r="G80" s="160"/>
      <c r="H80" s="319"/>
      <c r="I80" s="161">
        <f aca="true" t="shared" si="17" ref="I80:J82">I30</f>
        <v>3535040</v>
      </c>
      <c r="J80" s="161">
        <f t="shared" si="17"/>
        <v>3666899</v>
      </c>
      <c r="K80" s="161">
        <f aca="true" t="shared" si="18" ref="K80:R80">K30</f>
        <v>3506453</v>
      </c>
      <c r="L80" s="161">
        <f t="shared" si="18"/>
        <v>2550000</v>
      </c>
      <c r="M80" s="161">
        <f t="shared" si="18"/>
        <v>2550000</v>
      </c>
      <c r="N80" s="161">
        <f t="shared" si="18"/>
        <v>2401170</v>
      </c>
      <c r="O80" s="161">
        <f t="shared" si="18"/>
        <v>62028</v>
      </c>
      <c r="P80" s="161">
        <f t="shared" si="18"/>
        <v>750523</v>
      </c>
      <c r="Q80" s="161">
        <f t="shared" si="18"/>
        <v>600000</v>
      </c>
      <c r="R80" s="161">
        <f t="shared" si="18"/>
        <v>423949</v>
      </c>
      <c r="S80" s="306"/>
    </row>
    <row r="81" spans="1:18" ht="15" customHeight="1">
      <c r="A81" s="159" t="s">
        <v>71</v>
      </c>
      <c r="B81" s="601" t="s">
        <v>220</v>
      </c>
      <c r="C81" s="602"/>
      <c r="D81" s="120"/>
      <c r="E81" s="97"/>
      <c r="F81" s="97"/>
      <c r="G81" s="160"/>
      <c r="H81" s="319"/>
      <c r="I81" s="161">
        <f t="shared" si="17"/>
        <v>400000</v>
      </c>
      <c r="J81" s="161">
        <f t="shared" si="17"/>
        <v>600000</v>
      </c>
      <c r="K81" s="161">
        <f aca="true" t="shared" si="19" ref="K81:R81">K31</f>
        <v>600000</v>
      </c>
      <c r="L81" s="161">
        <f t="shared" si="19"/>
        <v>600000</v>
      </c>
      <c r="M81" s="161">
        <f t="shared" si="19"/>
        <v>700000</v>
      </c>
      <c r="N81" s="161">
        <f t="shared" si="19"/>
        <v>1400000</v>
      </c>
      <c r="O81" s="161">
        <f t="shared" si="19"/>
        <v>0</v>
      </c>
      <c r="P81" s="161">
        <f t="shared" si="19"/>
        <v>0</v>
      </c>
      <c r="Q81" s="161">
        <f t="shared" si="19"/>
        <v>0</v>
      </c>
      <c r="R81" s="161">
        <f t="shared" si="19"/>
        <v>0</v>
      </c>
    </row>
    <row r="82" spans="1:18" ht="15" customHeight="1">
      <c r="A82" s="159" t="s">
        <v>79</v>
      </c>
      <c r="B82" s="601" t="s">
        <v>94</v>
      </c>
      <c r="C82" s="602"/>
      <c r="D82" s="120"/>
      <c r="E82" s="97"/>
      <c r="F82" s="97"/>
      <c r="G82" s="160"/>
      <c r="H82" s="319"/>
      <c r="I82" s="161">
        <f t="shared" si="17"/>
        <v>3000000</v>
      </c>
      <c r="J82" s="161">
        <f t="shared" si="17"/>
        <v>3000000</v>
      </c>
      <c r="K82" s="161">
        <f aca="true" t="shared" si="20" ref="K82:R82">K32</f>
        <v>3000000</v>
      </c>
      <c r="L82" s="161">
        <f t="shared" si="20"/>
        <v>3000000</v>
      </c>
      <c r="M82" s="161">
        <f t="shared" si="20"/>
        <v>3000000</v>
      </c>
      <c r="N82" s="161">
        <f t="shared" si="20"/>
        <v>3000000</v>
      </c>
      <c r="O82" s="161">
        <f t="shared" si="20"/>
        <v>5000000</v>
      </c>
      <c r="P82" s="161">
        <f t="shared" si="20"/>
        <v>2700000</v>
      </c>
      <c r="Q82" s="161">
        <f t="shared" si="20"/>
        <v>2700000</v>
      </c>
      <c r="R82" s="161">
        <f t="shared" si="20"/>
        <v>4100000</v>
      </c>
    </row>
    <row r="83" spans="1:18" ht="19.5" customHeight="1">
      <c r="A83" s="154">
        <v>25</v>
      </c>
      <c r="B83" s="593" t="s">
        <v>112</v>
      </c>
      <c r="C83" s="593"/>
      <c r="D83" s="157">
        <f>'Prognoza długu'!C46</f>
        <v>39684305</v>
      </c>
      <c r="E83" s="157">
        <f>'Prognoza długu'!D46</f>
        <v>31400550</v>
      </c>
      <c r="F83" s="157">
        <f>'Prognoza długu'!E46</f>
        <v>28859761</v>
      </c>
      <c r="G83" s="157">
        <f>'Prognoza długu'!F46</f>
        <v>10245475</v>
      </c>
      <c r="H83" s="326">
        <f>'Prognoza długu'!G46</f>
        <v>14027077</v>
      </c>
      <c r="I83" s="157">
        <f aca="true" t="shared" si="21" ref="I83:R83">I53</f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  <c r="M83" s="157">
        <f t="shared" si="21"/>
        <v>0</v>
      </c>
      <c r="N83" s="157">
        <f t="shared" si="21"/>
        <v>0</v>
      </c>
      <c r="O83" s="157">
        <f t="shared" si="21"/>
        <v>0</v>
      </c>
      <c r="P83" s="157">
        <f t="shared" si="21"/>
        <v>0</v>
      </c>
      <c r="Q83" s="157">
        <f t="shared" si="21"/>
        <v>0</v>
      </c>
      <c r="R83" s="157">
        <f t="shared" si="21"/>
        <v>0</v>
      </c>
    </row>
    <row r="84" spans="1:18" ht="19.5" customHeight="1">
      <c r="A84" s="162">
        <v>26</v>
      </c>
      <c r="B84" s="603" t="s">
        <v>113</v>
      </c>
      <c r="C84" s="603"/>
      <c r="D84" s="163">
        <f>D29</f>
        <v>1167600</v>
      </c>
      <c r="E84" s="163">
        <f aca="true" t="shared" si="22" ref="E84:Q84">E29</f>
        <v>1422000</v>
      </c>
      <c r="F84" s="163">
        <f t="shared" si="22"/>
        <v>3463314</v>
      </c>
      <c r="G84" s="317">
        <f t="shared" si="22"/>
        <v>6940085</v>
      </c>
      <c r="H84" s="327">
        <f t="shared" si="22"/>
        <v>4551585</v>
      </c>
      <c r="I84" s="163">
        <f>I29</f>
        <v>6935040</v>
      </c>
      <c r="J84" s="163">
        <f t="shared" si="22"/>
        <v>7266899</v>
      </c>
      <c r="K84" s="163">
        <f t="shared" si="22"/>
        <v>7106453</v>
      </c>
      <c r="L84" s="163">
        <f t="shared" si="22"/>
        <v>6150000</v>
      </c>
      <c r="M84" s="163">
        <f t="shared" si="22"/>
        <v>6250000</v>
      </c>
      <c r="N84" s="163">
        <f t="shared" si="22"/>
        <v>6801170</v>
      </c>
      <c r="O84" s="163">
        <f t="shared" si="22"/>
        <v>5062028</v>
      </c>
      <c r="P84" s="163">
        <f t="shared" si="22"/>
        <v>3450523</v>
      </c>
      <c r="Q84" s="163">
        <f t="shared" si="22"/>
        <v>3300000</v>
      </c>
      <c r="R84" s="163">
        <f>R29</f>
        <v>4523949</v>
      </c>
    </row>
    <row r="85" spans="1:18" ht="15.75">
      <c r="A85" s="164"/>
      <c r="B85" s="165"/>
      <c r="C85" s="166"/>
      <c r="D85" s="167"/>
      <c r="E85" s="168"/>
      <c r="F85" s="168"/>
      <c r="G85" s="167"/>
      <c r="H85" s="168"/>
      <c r="I85" s="168"/>
      <c r="J85" s="169"/>
      <c r="K85" s="169"/>
      <c r="L85" s="169"/>
      <c r="M85" s="169"/>
      <c r="N85" s="169"/>
      <c r="O85" s="169"/>
      <c r="P85" s="169"/>
      <c r="Q85" s="169"/>
      <c r="R85" s="169"/>
    </row>
    <row r="86" spans="1:18" ht="12.75">
      <c r="A86" s="89"/>
      <c r="B86" s="89"/>
      <c r="C86" s="86"/>
      <c r="D86" s="87"/>
      <c r="E86" s="88"/>
      <c r="F86" s="88"/>
      <c r="G86" s="87"/>
      <c r="H86" s="88"/>
      <c r="I86" s="88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89"/>
      <c r="B87" s="89"/>
      <c r="C87" s="86"/>
      <c r="D87" s="87"/>
      <c r="E87" s="88"/>
      <c r="F87" s="88"/>
      <c r="G87" s="87"/>
      <c r="H87" s="88"/>
      <c r="I87" s="88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89"/>
      <c r="B88" s="89"/>
      <c r="C88" s="86"/>
      <c r="D88" s="87"/>
      <c r="E88" s="88"/>
      <c r="F88" s="88"/>
      <c r="G88" s="87"/>
      <c r="H88" s="88"/>
      <c r="I88" s="88"/>
      <c r="J88" s="89"/>
      <c r="K88" s="89"/>
      <c r="L88" s="89"/>
      <c r="M88" s="89"/>
      <c r="N88" s="89"/>
      <c r="O88" s="89"/>
      <c r="P88" s="89"/>
      <c r="Q88" s="89"/>
      <c r="R88" s="89"/>
    </row>
    <row r="89" spans="4:9" ht="12.75">
      <c r="D89" s="35"/>
      <c r="E89" s="14"/>
      <c r="F89" s="14"/>
      <c r="G89" s="35"/>
      <c r="H89" s="14"/>
      <c r="I89" s="14"/>
    </row>
  </sheetData>
  <sheetProtection/>
  <mergeCells count="86"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  <mergeCell ref="B23:C23"/>
    <mergeCell ref="B24:C24"/>
    <mergeCell ref="B26:C26"/>
    <mergeCell ref="B27:C27"/>
    <mergeCell ref="B28:C28"/>
    <mergeCell ref="A62:A63"/>
    <mergeCell ref="B62:B63"/>
    <mergeCell ref="B53:C53"/>
    <mergeCell ref="B60:C60"/>
    <mergeCell ref="A49:A52"/>
    <mergeCell ref="N51:N52"/>
    <mergeCell ref="E51:E52"/>
    <mergeCell ref="F51:F52"/>
    <mergeCell ref="H51:H52"/>
    <mergeCell ref="I51:I52"/>
    <mergeCell ref="K51:K52"/>
    <mergeCell ref="D49:R49"/>
    <mergeCell ref="H50:R50"/>
    <mergeCell ref="D51:D52"/>
    <mergeCell ref="R51:R52"/>
    <mergeCell ref="P51:P52"/>
    <mergeCell ref="Q51:Q52"/>
    <mergeCell ref="J51:J52"/>
    <mergeCell ref="L51:L52"/>
    <mergeCell ref="O51:O52"/>
    <mergeCell ref="M51:M52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B80:C80"/>
    <mergeCell ref="B81:C81"/>
    <mergeCell ref="B82:C82"/>
    <mergeCell ref="Q11:Q12"/>
    <mergeCell ref="P11:P12"/>
    <mergeCell ref="O11:O12"/>
    <mergeCell ref="N11:N12"/>
    <mergeCell ref="B70:C70"/>
    <mergeCell ref="B64:C64"/>
    <mergeCell ref="B65:C65"/>
    <mergeCell ref="B66:C66"/>
    <mergeCell ref="B67:C67"/>
    <mergeCell ref="B68:C68"/>
    <mergeCell ref="B35:C35"/>
    <mergeCell ref="B36:C36"/>
    <mergeCell ref="B61:C61"/>
    <mergeCell ref="B54:B57"/>
    <mergeCell ref="B58:C58"/>
    <mergeCell ref="B59:C59"/>
    <mergeCell ref="B49:C52"/>
    <mergeCell ref="B34:C34"/>
    <mergeCell ref="B15:C15"/>
    <mergeCell ref="B17:C17"/>
    <mergeCell ref="B18:B22"/>
    <mergeCell ref="D9:R9"/>
    <mergeCell ref="B9:C12"/>
    <mergeCell ref="K11:K12"/>
    <mergeCell ref="J11:J12"/>
    <mergeCell ref="I11:I12"/>
    <mergeCell ref="R11:R12"/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A29">
      <selection activeCell="Q56" sqref="A35:Q56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</cols>
  <sheetData>
    <row r="1" spans="1:17" ht="17.2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65" t="s">
        <v>114</v>
      </c>
      <c r="N1" s="65"/>
      <c r="O1" s="173"/>
      <c r="P1" s="173"/>
      <c r="Q1" s="173"/>
    </row>
    <row r="2" spans="1:17" ht="2.25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70"/>
      <c r="N2" s="71"/>
      <c r="O2" s="173"/>
      <c r="P2" s="173"/>
      <c r="Q2" s="173"/>
    </row>
    <row r="3" spans="1:17" ht="17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75" t="s">
        <v>265</v>
      </c>
      <c r="N3" s="71"/>
      <c r="O3" s="173"/>
      <c r="P3" s="173"/>
      <c r="Q3" s="173"/>
    </row>
    <row r="4" spans="1:17" ht="17.25" customHeigh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75" t="s">
        <v>49</v>
      </c>
      <c r="N4" s="71"/>
      <c r="O4" s="173"/>
      <c r="P4" s="173"/>
      <c r="Q4" s="173"/>
    </row>
    <row r="5" spans="1:17" ht="17.25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75" t="s">
        <v>266</v>
      </c>
      <c r="N5" s="71"/>
      <c r="O5" s="173"/>
      <c r="P5" s="173"/>
      <c r="Q5" s="173"/>
    </row>
    <row r="6" spans="1:17" ht="39.75" customHeight="1">
      <c r="A6" s="619" t="s">
        <v>226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</row>
    <row r="7" spans="1:17" ht="17.25" customHeight="1">
      <c r="A7" s="620" t="s">
        <v>115</v>
      </c>
      <c r="B7" s="621" t="s">
        <v>64</v>
      </c>
      <c r="C7" s="622" t="s">
        <v>65</v>
      </c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</row>
    <row r="8" spans="1:17" ht="17.25" customHeight="1">
      <c r="A8" s="620"/>
      <c r="B8" s="621"/>
      <c r="C8" s="624" t="s">
        <v>66</v>
      </c>
      <c r="D8" s="625"/>
      <c r="E8" s="625"/>
      <c r="F8" s="626"/>
      <c r="G8" s="623" t="s">
        <v>116</v>
      </c>
      <c r="H8" s="623"/>
      <c r="I8" s="623"/>
      <c r="J8" s="623"/>
      <c r="K8" s="623"/>
      <c r="L8" s="623"/>
      <c r="M8" s="623"/>
      <c r="N8" s="623"/>
      <c r="O8" s="623"/>
      <c r="P8" s="623"/>
      <c r="Q8" s="623"/>
    </row>
    <row r="9" spans="1:17" ht="17.25" customHeight="1">
      <c r="A9" s="620"/>
      <c r="B9" s="621"/>
      <c r="C9" s="174">
        <v>2007</v>
      </c>
      <c r="D9" s="174">
        <v>2008</v>
      </c>
      <c r="E9" s="174">
        <v>2009</v>
      </c>
      <c r="F9" s="175">
        <v>2010</v>
      </c>
      <c r="G9" s="174">
        <v>2011</v>
      </c>
      <c r="H9" s="174">
        <v>2012</v>
      </c>
      <c r="I9" s="174">
        <v>2013</v>
      </c>
      <c r="J9" s="174">
        <v>2014</v>
      </c>
      <c r="K9" s="174">
        <v>2015</v>
      </c>
      <c r="L9" s="174">
        <v>2016</v>
      </c>
      <c r="M9" s="174">
        <v>2017</v>
      </c>
      <c r="N9" s="174">
        <v>2018</v>
      </c>
      <c r="O9" s="174">
        <v>2019</v>
      </c>
      <c r="P9" s="174">
        <v>2020</v>
      </c>
      <c r="Q9" s="176">
        <v>2021</v>
      </c>
    </row>
    <row r="10" spans="1:17" ht="20.25" customHeight="1">
      <c r="A10" s="177">
        <v>1</v>
      </c>
      <c r="B10" s="178" t="s">
        <v>117</v>
      </c>
      <c r="C10" s="179">
        <v>15733115</v>
      </c>
      <c r="D10" s="179">
        <v>24061046</v>
      </c>
      <c r="E10" s="179">
        <v>45737732</v>
      </c>
      <c r="F10" s="179">
        <f>E10+WPF!G53-WPF!G29</f>
        <v>47797647</v>
      </c>
      <c r="G10" s="328">
        <f>F10+WPF!H53-WPF!H29</f>
        <v>56846062</v>
      </c>
      <c r="H10" s="179">
        <f>G10+WPF!I53-WPF!I29</f>
        <v>49911022</v>
      </c>
      <c r="I10" s="179">
        <f>H10+WPF!J53-WPF!J29</f>
        <v>42644123</v>
      </c>
      <c r="J10" s="179">
        <f>I10+WPF!K53-WPF!K29</f>
        <v>35537670</v>
      </c>
      <c r="K10" s="179">
        <f>J10+WPF!L53-WPF!L29</f>
        <v>29387670</v>
      </c>
      <c r="L10" s="179">
        <f>K10+WPF!M53-WPF!M29</f>
        <v>23137670</v>
      </c>
      <c r="M10" s="179">
        <f>L10+WPF!N53-WPF!N29</f>
        <v>16336500</v>
      </c>
      <c r="N10" s="179">
        <f>M10+WPF!O53-WPF!O29</f>
        <v>11274472</v>
      </c>
      <c r="O10" s="179">
        <f>N10+WPF!P53-WPF!P29</f>
        <v>7823949</v>
      </c>
      <c r="P10" s="179">
        <f>O10+WPF!Q53-WPF!Q29</f>
        <v>4523949</v>
      </c>
      <c r="Q10" s="180"/>
    </row>
    <row r="11" spans="1:17" ht="33.75" customHeight="1">
      <c r="A11" s="181" t="s">
        <v>69</v>
      </c>
      <c r="B11" s="56" t="s">
        <v>118</v>
      </c>
      <c r="C11" s="53">
        <v>0</v>
      </c>
      <c r="D11" s="53">
        <v>0</v>
      </c>
      <c r="E11" s="53">
        <v>0</v>
      </c>
      <c r="F11" s="53">
        <v>0</v>
      </c>
      <c r="G11" s="329">
        <v>2100000</v>
      </c>
      <c r="H11" s="53">
        <v>2050000</v>
      </c>
      <c r="I11" s="53">
        <v>2000000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5">
        <v>0</v>
      </c>
    </row>
    <row r="12" spans="1:20" ht="42" customHeight="1">
      <c r="A12" s="181" t="s">
        <v>71</v>
      </c>
      <c r="B12" s="56" t="s">
        <v>241</v>
      </c>
      <c r="C12" s="53">
        <v>0</v>
      </c>
      <c r="D12" s="53">
        <v>0</v>
      </c>
      <c r="E12" s="53">
        <v>0</v>
      </c>
      <c r="F12" s="53">
        <v>0</v>
      </c>
      <c r="G12" s="329">
        <v>0</v>
      </c>
      <c r="H12" s="53">
        <v>50000</v>
      </c>
      <c r="I12" s="53">
        <v>50000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5">
        <v>0</v>
      </c>
      <c r="T12" s="36"/>
    </row>
    <row r="13" spans="1:17" ht="55.5" customHeight="1">
      <c r="A13" s="181" t="s">
        <v>119</v>
      </c>
      <c r="B13" s="56" t="s">
        <v>120</v>
      </c>
      <c r="C13" s="53">
        <v>0</v>
      </c>
      <c r="D13" s="53">
        <v>0</v>
      </c>
      <c r="E13" s="53">
        <v>0</v>
      </c>
      <c r="F13" s="53">
        <v>0</v>
      </c>
      <c r="G13" s="329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5">
        <v>0</v>
      </c>
    </row>
    <row r="14" spans="1:17" ht="24" customHeight="1">
      <c r="A14" s="181" t="s">
        <v>121</v>
      </c>
      <c r="B14" s="56" t="s">
        <v>122</v>
      </c>
      <c r="C14" s="53">
        <f>WPF!D29</f>
        <v>1167600</v>
      </c>
      <c r="D14" s="53">
        <f>WPF!E29</f>
        <v>1422000</v>
      </c>
      <c r="E14" s="53">
        <f>WPF!F29</f>
        <v>3463314</v>
      </c>
      <c r="F14" s="53">
        <f>WPF!G29</f>
        <v>6940085</v>
      </c>
      <c r="G14" s="329">
        <f>WPF!H29</f>
        <v>4551585</v>
      </c>
      <c r="H14" s="53">
        <f>WPF!I29</f>
        <v>6935040</v>
      </c>
      <c r="I14" s="53">
        <f>WPF!J29</f>
        <v>7266899</v>
      </c>
      <c r="J14" s="53">
        <f>WPF!K29</f>
        <v>7106453</v>
      </c>
      <c r="K14" s="53">
        <f>WPF!L29</f>
        <v>6150000</v>
      </c>
      <c r="L14" s="53">
        <f>WPF!M29</f>
        <v>6250000</v>
      </c>
      <c r="M14" s="53">
        <f>WPF!N29</f>
        <v>6801170</v>
      </c>
      <c r="N14" s="53">
        <f>WPF!O29</f>
        <v>5062028</v>
      </c>
      <c r="O14" s="53">
        <f>WPF!P29</f>
        <v>3450523</v>
      </c>
      <c r="P14" s="53">
        <f>WPF!Q29</f>
        <v>3300000</v>
      </c>
      <c r="Q14" s="55">
        <f>WPF!R29</f>
        <v>4523949</v>
      </c>
    </row>
    <row r="15" spans="1:17" ht="24" customHeight="1">
      <c r="A15" s="182" t="s">
        <v>123</v>
      </c>
      <c r="B15" s="183" t="s">
        <v>124</v>
      </c>
      <c r="C15" s="184"/>
      <c r="D15" s="184"/>
      <c r="E15" s="184"/>
      <c r="F15" s="185">
        <f>1/3*((WPF!D14+WPF!D16-'Prognoza długu'!C25)/WPF!D13+(WPF!E14+WPF!E16-'Prognoza długu'!D25)/WPF!E13+(WPF!F14+WPF!F16-'Prognoza długu'!E25)/WPF!F13)</f>
        <v>0.1910646731760649</v>
      </c>
      <c r="G15" s="330">
        <f>1/3*((WPF!E14+WPF!E16-'Prognoza długu'!D25)/WPF!E13+(WPF!F14+WPF!F16-'Prognoza długu'!E25)/WPF!F13+(WPF!G14+WPF!G16-'Prognoza długu'!F25)/WPF!G13)</f>
        <v>0.1291721492426357</v>
      </c>
      <c r="H15" s="185">
        <f>1/3*((WPF!F14+WPF!F16-'Prognoza długu'!E25)/WPF!F13+(WPF!G14+WPF!G16-'Prognoza długu'!F25)/WPF!G13+(WPF!H14+WPF!H16-'Prognoza długu'!G25)/WPF!H13)</f>
        <v>0.11169069667185756</v>
      </c>
      <c r="I15" s="185">
        <f>1/3*((WPF!G14+WPF!G16-'Prognoza długu'!F25)/WPF!G13+(WPF!H14+WPF!H16-'Prognoza długu'!G25)/WPF!H13+(WPF!I14+WPF!I16-'Prognoza długu'!H25)/WPF!I13)</f>
        <v>0.173726678239849</v>
      </c>
      <c r="J15" s="185">
        <f>1/3*((WPF!H14+WPF!H16-'Prognoza długu'!G25)/WPF!H13+(WPF!I14+WPF!I16-'Prognoza długu'!H25)/WPF!I13+(WPF!J14+WPF!J16-'Prognoza długu'!I25)/WPF!J13)</f>
        <v>0.24338178439695485</v>
      </c>
      <c r="K15" s="185">
        <f>1/3*((WPF!I14+WPF!I16-'Prognoza długu'!H25)/WPF!I13+(WPF!J14+WPF!J16-'Prognoza długu'!I25)/WPF!J13+(WPF!K14+WPF!K16-'Prognoza długu'!J25)/WPF!K13)</f>
        <v>0.26212455393654616</v>
      </c>
      <c r="L15" s="185">
        <f>1/3*((WPF!J14+WPF!J16-'Prognoza długu'!I25)/WPF!J13+(WPF!K14+WPF!K16-'Prognoza długu'!J25)/WPF!K13+(WPF!L14+WPF!L16-'Prognoza długu'!K25)/WPF!L13)</f>
        <v>0.23973441388325833</v>
      </c>
      <c r="M15" s="185">
        <f>1/3*((WPF!K14+WPF!K16-'Prognoza długu'!J25)/WPF!K13+(WPF!L14+WPF!L16-'Prognoza długu'!K25)/WPF!L13+(WPF!M14+WPF!M16-'Prognoza długu'!L25)/WPF!M13)</f>
        <v>0.19602497512362363</v>
      </c>
      <c r="N15" s="185">
        <f>1/3*((WPF!L14+WPF!L16-'Prognoza długu'!K25)/WPF!L13+(WPF!M14+WPF!M16-'Prognoza długu'!L25)/WPF!M13+(WPF!N14+WPF!N16-'Prognoza długu'!M25)/WPF!N13)</f>
        <v>0.17639009302935285</v>
      </c>
      <c r="O15" s="185">
        <f>1/3*((WPF!M14+WPF!M16-'Prognoza długu'!L25)/WPF!M13+(WPF!N14+WPF!N16-'Prognoza długu'!M25)/WPF!N13+(WPF!O14+WPF!O16-'Prognoza długu'!N25)/WPF!O13)</f>
        <v>0.11818883553926332</v>
      </c>
      <c r="P15" s="185">
        <f>1/3*((WPF!N14+WPF!N16-'Prognoza długu'!M25)/WPF!N13+(WPF!O14+WPF!O16-'Prognoza długu'!N25)/WPF!O13+(WPF!P14+WPF!P16-'Prognoza długu'!O25)/WPF!P13)</f>
        <v>0.07740891882519615</v>
      </c>
      <c r="Q15" s="186">
        <f>1/3*((WPF!O14+WPF!O16-'Prognoza długu'!N25)/WPF!O13+(WPF!P14+WPF!P16-'Prognoza długu'!O25)/WPF!P13+(WPF!Q14+WPF!Q16-'Prognoza długu'!P25)/WPF!Q13)</f>
        <v>0.04081875715619127</v>
      </c>
    </row>
    <row r="16" spans="1:17" ht="30.75" customHeight="1">
      <c r="A16" s="182" t="s">
        <v>125</v>
      </c>
      <c r="B16" s="183" t="s">
        <v>126</v>
      </c>
      <c r="C16" s="184" t="s">
        <v>84</v>
      </c>
      <c r="D16" s="184" t="s">
        <v>84</v>
      </c>
      <c r="E16" s="184" t="s">
        <v>84</v>
      </c>
      <c r="F16" s="185">
        <f>(WPF!G33+WPF!G29)/WPF!G13</f>
        <v>0.10653694792951553</v>
      </c>
      <c r="G16" s="330">
        <f>(WPF!H33+WPF!H29)/WPF!H13</f>
        <v>0.06155009236724011</v>
      </c>
      <c r="H16" s="185">
        <f>(WPF!I33+WPF!I29)/WPF!I13</f>
        <v>0.05980077221368599</v>
      </c>
      <c r="I16" s="185">
        <f>(WPF!J33+WPF!J29)/WPF!J13</f>
        <v>0.06226394343377265</v>
      </c>
      <c r="J16" s="185">
        <f>(WPF!K33+WPF!K29)/WPF!K13</f>
        <v>0.088755970249997</v>
      </c>
      <c r="K16" s="185">
        <f>(WPF!L33+WPF!L29)/WPF!L13</f>
        <v>0.06852576532352617</v>
      </c>
      <c r="L16" s="185">
        <f>(WPF!M33+WPF!M29)/WPF!M13</f>
        <v>0.07519720415314615</v>
      </c>
      <c r="M16" s="185">
        <f>(WPF!N33+WPF!N29)/WPF!N13</f>
        <v>0.07615654018567442</v>
      </c>
      <c r="N16" s="185">
        <f>(WPF!O33+WPF!O29)/WPF!O13</f>
        <v>0.05513219155360449</v>
      </c>
      <c r="O16" s="185">
        <f>(WPF!P33+WPF!P29)/WPF!P13</f>
        <v>0.03764544886082038</v>
      </c>
      <c r="P16" s="185">
        <f>(WPF!Q33+WPF!Q29)/WPF!Q13</f>
        <v>0.0325390376290527</v>
      </c>
      <c r="Q16" s="186">
        <f>(WPF!R33+WPF!R29)/WPF!R13</f>
        <v>0.03612050673709365</v>
      </c>
    </row>
    <row r="17" spans="1:17" ht="35.25" customHeight="1">
      <c r="A17" s="182" t="s">
        <v>127</v>
      </c>
      <c r="B17" s="187" t="s">
        <v>128</v>
      </c>
      <c r="C17" s="188"/>
      <c r="D17" s="184"/>
      <c r="E17" s="184"/>
      <c r="F17" s="185">
        <f>F15-F16</f>
        <v>0.08452772524654938</v>
      </c>
      <c r="G17" s="330">
        <f aca="true" t="shared" si="0" ref="G17:Q17">G15-G16</f>
        <v>0.0676220568753956</v>
      </c>
      <c r="H17" s="185">
        <f t="shared" si="0"/>
        <v>0.051889924458171574</v>
      </c>
      <c r="I17" s="185">
        <f t="shared" si="0"/>
        <v>0.11146273480607635</v>
      </c>
      <c r="J17" s="185">
        <f t="shared" si="0"/>
        <v>0.15462581414695786</v>
      </c>
      <c r="K17" s="185">
        <f t="shared" si="0"/>
        <v>0.19359878861302</v>
      </c>
      <c r="L17" s="185">
        <f t="shared" si="0"/>
        <v>0.16453720973011218</v>
      </c>
      <c r="M17" s="185">
        <f t="shared" si="0"/>
        <v>0.11986843493794921</v>
      </c>
      <c r="N17" s="185">
        <f t="shared" si="0"/>
        <v>0.12125790147574836</v>
      </c>
      <c r="O17" s="185">
        <f t="shared" si="0"/>
        <v>0.08054338667844294</v>
      </c>
      <c r="P17" s="185">
        <f t="shared" si="0"/>
        <v>0.044869881196143456</v>
      </c>
      <c r="Q17" s="186">
        <f t="shared" si="0"/>
        <v>0.004698250419097626</v>
      </c>
    </row>
    <row r="18" spans="1:17" ht="30" customHeight="1">
      <c r="A18" s="181" t="s">
        <v>129</v>
      </c>
      <c r="B18" s="56" t="s">
        <v>130</v>
      </c>
      <c r="C18" s="189">
        <f>WPF!D28/WPF!D13%</f>
        <v>1.959634752176012</v>
      </c>
      <c r="D18" s="189">
        <f>WPF!E28/WPF!E13%</f>
        <v>2.3282594878968568</v>
      </c>
      <c r="E18" s="189">
        <f>WPF!F28/WPF!F13%</f>
        <v>5.510659630018438</v>
      </c>
      <c r="F18" s="189">
        <f>WPF!G28/WPF!G13%</f>
        <v>10.653694792951551</v>
      </c>
      <c r="G18" s="331">
        <f>WPF!H28/WPF!H13%</f>
        <v>6.15500923672401</v>
      </c>
      <c r="H18" s="189">
        <f>WPF!I28/WPF!I13%</f>
        <v>5.980077221368599</v>
      </c>
      <c r="I18" s="189">
        <f>WPF!J28/WPF!J13%</f>
        <v>6.226394343377264</v>
      </c>
      <c r="J18" s="189"/>
      <c r="K18" s="189"/>
      <c r="L18" s="189"/>
      <c r="M18" s="189"/>
      <c r="N18" s="189"/>
      <c r="O18" s="189"/>
      <c r="P18" s="189"/>
      <c r="Q18" s="190"/>
    </row>
    <row r="19" spans="1:17" ht="29.25" customHeight="1">
      <c r="A19" s="181" t="s">
        <v>131</v>
      </c>
      <c r="B19" s="56" t="s">
        <v>132</v>
      </c>
      <c r="C19" s="189">
        <f>C10/WPF!D13%</f>
        <v>20.922637275627366</v>
      </c>
      <c r="D19" s="189">
        <f>D10/WPF!E13%</f>
        <v>29.73558673968137</v>
      </c>
      <c r="E19" s="189">
        <f>E10/WPF!F13%</f>
        <v>55.982746471274986</v>
      </c>
      <c r="F19" s="189">
        <f>F10/WPF!G13%</f>
        <v>56.16915056018265</v>
      </c>
      <c r="G19" s="331">
        <f>G10/WPF!H13%</f>
        <v>50.829510580553546</v>
      </c>
      <c r="H19" s="189">
        <f>H10/WPF!I13%</f>
        <v>32.32687410794049</v>
      </c>
      <c r="I19" s="189">
        <f>I10/WPF!J13%</f>
        <v>26.675036588931963</v>
      </c>
      <c r="J19" s="189"/>
      <c r="K19" s="189"/>
      <c r="L19" s="189"/>
      <c r="M19" s="189"/>
      <c r="N19" s="189"/>
      <c r="O19" s="189"/>
      <c r="P19" s="189"/>
      <c r="Q19" s="190"/>
    </row>
    <row r="20" spans="1:17" ht="17.25" customHeight="1">
      <c r="A20" s="82" t="s">
        <v>133</v>
      </c>
      <c r="B20" s="191" t="s">
        <v>134</v>
      </c>
      <c r="C20" s="59">
        <f>C21+C22</f>
        <v>75196615</v>
      </c>
      <c r="D20" s="59">
        <f aca="true" t="shared" si="1" ref="D20:Q20">D21+D22</f>
        <v>80916668</v>
      </c>
      <c r="E20" s="59">
        <f t="shared" si="1"/>
        <v>81699693</v>
      </c>
      <c r="F20" s="59">
        <f t="shared" si="1"/>
        <v>85095905</v>
      </c>
      <c r="G20" s="332">
        <f t="shared" si="1"/>
        <v>111836729</v>
      </c>
      <c r="H20" s="59">
        <f t="shared" si="1"/>
        <v>154394829</v>
      </c>
      <c r="I20" s="59">
        <f t="shared" si="1"/>
        <v>159865284</v>
      </c>
      <c r="J20" s="59">
        <f t="shared" si="1"/>
        <v>105647586</v>
      </c>
      <c r="K20" s="59">
        <f t="shared" si="1"/>
        <v>118758338</v>
      </c>
      <c r="L20" s="192">
        <f t="shared" si="1"/>
        <v>105848430</v>
      </c>
      <c r="M20" s="59">
        <f t="shared" si="1"/>
        <v>108078216</v>
      </c>
      <c r="N20" s="59">
        <f t="shared" si="1"/>
        <v>111030581</v>
      </c>
      <c r="O20" s="59">
        <f t="shared" si="1"/>
        <v>110658756</v>
      </c>
      <c r="P20" s="59">
        <f t="shared" si="1"/>
        <v>116016075</v>
      </c>
      <c r="Q20" s="60">
        <f t="shared" si="1"/>
        <v>130658641</v>
      </c>
    </row>
    <row r="21" spans="1:17" ht="16.5" customHeight="1">
      <c r="A21" s="181" t="s">
        <v>69</v>
      </c>
      <c r="B21" s="56" t="s">
        <v>135</v>
      </c>
      <c r="C21" s="53">
        <f>WPF!D14</f>
        <v>74779347</v>
      </c>
      <c r="D21" s="53">
        <f>WPF!E14</f>
        <v>80901768</v>
      </c>
      <c r="E21" s="53">
        <f>WPF!F14</f>
        <v>80665439</v>
      </c>
      <c r="F21" s="53">
        <f>WPF!G14</f>
        <v>84339995</v>
      </c>
      <c r="G21" s="329">
        <f>WPF!H14</f>
        <v>98580910</v>
      </c>
      <c r="H21" s="53">
        <f>WPF!I14</f>
        <v>103491830</v>
      </c>
      <c r="I21" s="53">
        <f>WPF!J14</f>
        <v>106967783</v>
      </c>
      <c r="J21" s="53">
        <f>WPF!K14</f>
        <v>101647586</v>
      </c>
      <c r="K21" s="53">
        <f>WPF!L14</f>
        <v>104758338</v>
      </c>
      <c r="L21" s="193">
        <f>WPF!M14</f>
        <v>105848430</v>
      </c>
      <c r="M21" s="53">
        <f>WPF!N14</f>
        <v>108078216</v>
      </c>
      <c r="N21" s="53">
        <f>WPF!O14</f>
        <v>111030581</v>
      </c>
      <c r="O21" s="53">
        <f>WPF!P14</f>
        <v>110658756</v>
      </c>
      <c r="P21" s="53">
        <f>WPF!Q14</f>
        <v>114016075</v>
      </c>
      <c r="Q21" s="55">
        <f>WPF!R14</f>
        <v>118658641</v>
      </c>
    </row>
    <row r="22" spans="1:17" ht="16.5" customHeight="1">
      <c r="A22" s="181" t="s">
        <v>71</v>
      </c>
      <c r="B22" s="56" t="s">
        <v>72</v>
      </c>
      <c r="C22" s="53">
        <f>WPF!D15</f>
        <v>417268</v>
      </c>
      <c r="D22" s="53">
        <f>WPF!E15</f>
        <v>14900</v>
      </c>
      <c r="E22" s="53">
        <f>WPF!F15</f>
        <v>1034254</v>
      </c>
      <c r="F22" s="53">
        <f>WPF!G15</f>
        <v>755910</v>
      </c>
      <c r="G22" s="329">
        <f>WPF!H15</f>
        <v>13255819</v>
      </c>
      <c r="H22" s="53">
        <f>WPF!I15</f>
        <v>50902999</v>
      </c>
      <c r="I22" s="53">
        <f>WPF!J15</f>
        <v>52897501</v>
      </c>
      <c r="J22" s="53">
        <f>WPF!K15</f>
        <v>4000000</v>
      </c>
      <c r="K22" s="53">
        <f>WPF!L15</f>
        <v>14000000</v>
      </c>
      <c r="L22" s="53">
        <f>WPF!M15</f>
        <v>0</v>
      </c>
      <c r="M22" s="53">
        <f>WPF!N15</f>
        <v>0</v>
      </c>
      <c r="N22" s="53">
        <f>WPF!O15</f>
        <v>0</v>
      </c>
      <c r="O22" s="53">
        <f>WPF!P15</f>
        <v>0</v>
      </c>
      <c r="P22" s="53">
        <f>WPF!Q15</f>
        <v>2000000</v>
      </c>
      <c r="Q22" s="55">
        <f>WPF!R15</f>
        <v>12000000</v>
      </c>
    </row>
    <row r="23" spans="1:17" ht="16.5" customHeight="1">
      <c r="A23" s="181" t="s">
        <v>73</v>
      </c>
      <c r="B23" s="56" t="s">
        <v>75</v>
      </c>
      <c r="C23" s="53">
        <f>WPF!D16</f>
        <v>0</v>
      </c>
      <c r="D23" s="53">
        <f>WPF!E16</f>
        <v>0</v>
      </c>
      <c r="E23" s="53">
        <f>WPF!F16</f>
        <v>197354</v>
      </c>
      <c r="F23" s="53">
        <f>WPF!G16</f>
        <v>255910</v>
      </c>
      <c r="G23" s="329">
        <f>WPF!H16</f>
        <v>11100000</v>
      </c>
      <c r="H23" s="53">
        <f>WPF!I16</f>
        <v>22400000</v>
      </c>
      <c r="I23" s="53">
        <f>WPF!J16</f>
        <v>20245000</v>
      </c>
      <c r="J23" s="53">
        <f>WPF!K16</f>
        <v>4000000</v>
      </c>
      <c r="K23" s="53">
        <f>WPF!L16</f>
        <v>5000000</v>
      </c>
      <c r="L23" s="53">
        <f>WPF!M16</f>
        <v>0</v>
      </c>
      <c r="M23" s="53">
        <f>WPF!N16</f>
        <v>0</v>
      </c>
      <c r="N23" s="53">
        <f>WPF!O16</f>
        <v>0</v>
      </c>
      <c r="O23" s="53">
        <f>WPF!P16</f>
        <v>0</v>
      </c>
      <c r="P23" s="53">
        <f>WPF!Q16</f>
        <v>2000000</v>
      </c>
      <c r="Q23" s="55">
        <f>WPF!R16</f>
        <v>12000000</v>
      </c>
    </row>
    <row r="24" spans="1:17" ht="16.5" customHeight="1">
      <c r="A24" s="82" t="s">
        <v>136</v>
      </c>
      <c r="B24" s="191" t="s">
        <v>137</v>
      </c>
      <c r="C24" s="59">
        <f>C25+C26</f>
        <v>93858939.64</v>
      </c>
      <c r="D24" s="59">
        <f aca="true" t="shared" si="2" ref="D24:Q24">D25+D26</f>
        <v>107175456.57</v>
      </c>
      <c r="E24" s="59">
        <f t="shared" si="2"/>
        <v>105850665</v>
      </c>
      <c r="F24" s="59">
        <f t="shared" si="2"/>
        <v>87934218</v>
      </c>
      <c r="G24" s="332">
        <f>G25+G26</f>
        <v>121312221</v>
      </c>
      <c r="H24" s="59">
        <f t="shared" si="2"/>
        <v>147459789</v>
      </c>
      <c r="I24" s="59">
        <f t="shared" si="2"/>
        <v>152598385</v>
      </c>
      <c r="J24" s="59">
        <f t="shared" si="2"/>
        <v>98541133</v>
      </c>
      <c r="K24" s="59">
        <f t="shared" si="2"/>
        <v>112608338</v>
      </c>
      <c r="L24" s="59">
        <f t="shared" si="2"/>
        <v>99598430</v>
      </c>
      <c r="M24" s="59">
        <f t="shared" si="2"/>
        <v>101277046</v>
      </c>
      <c r="N24" s="59">
        <f t="shared" si="2"/>
        <v>105968553.26</v>
      </c>
      <c r="O24" s="59">
        <f t="shared" si="2"/>
        <v>107208232.54</v>
      </c>
      <c r="P24" s="59">
        <f t="shared" si="2"/>
        <v>112716075.43</v>
      </c>
      <c r="Q24" s="60">
        <f t="shared" si="2"/>
        <v>126134692.3225</v>
      </c>
    </row>
    <row r="25" spans="1:17" ht="17.25" customHeight="1">
      <c r="A25" s="181" t="s">
        <v>69</v>
      </c>
      <c r="B25" s="56" t="s">
        <v>138</v>
      </c>
      <c r="C25" s="53">
        <f>WPF!D17+WPF!D33</f>
        <v>55125811</v>
      </c>
      <c r="D25" s="53">
        <f>WPF!E17+WPF!E33</f>
        <v>63862781</v>
      </c>
      <c r="E25" s="53">
        <f>WPF!F17+WPF!F33</f>
        <v>72590083</v>
      </c>
      <c r="F25" s="53">
        <f>WPF!G17+WPF!G33</f>
        <v>78155472</v>
      </c>
      <c r="G25" s="329">
        <f>WPF!H17+WPF!H33</f>
        <v>91996152</v>
      </c>
      <c r="H25" s="53">
        <f>WPF!I17+WPF!I33</f>
        <v>81524085</v>
      </c>
      <c r="I25" s="53">
        <f>WPF!J17+WPF!J33</f>
        <v>81707174</v>
      </c>
      <c r="J25" s="53">
        <f>WPF!K17+WPF!K33</f>
        <v>83001133</v>
      </c>
      <c r="K25" s="53">
        <f>WPF!L17+WPF!L33</f>
        <v>83608338</v>
      </c>
      <c r="L25" s="53">
        <f>WPF!M17+WPF!M33</f>
        <v>89598430</v>
      </c>
      <c r="M25" s="53">
        <f>WPF!N17+WPF!N33</f>
        <v>91277046</v>
      </c>
      <c r="N25" s="53">
        <f>WPF!O17+WPF!O33</f>
        <v>105968553.26</v>
      </c>
      <c r="O25" s="53">
        <f>WPF!P17+WPF!P33</f>
        <v>107208232.54</v>
      </c>
      <c r="P25" s="53">
        <f>WPF!Q17+WPF!Q33</f>
        <v>110716075.43</v>
      </c>
      <c r="Q25" s="55">
        <f>WPF!R17+WPF!R33</f>
        <v>114134692.3225</v>
      </c>
    </row>
    <row r="26" spans="1:17" ht="17.25" customHeight="1">
      <c r="A26" s="181" t="s">
        <v>71</v>
      </c>
      <c r="B26" s="56" t="s">
        <v>139</v>
      </c>
      <c r="C26" s="53">
        <f>WPF!D36</f>
        <v>38733128.64</v>
      </c>
      <c r="D26" s="53">
        <f>WPF!E36</f>
        <v>43312675.57</v>
      </c>
      <c r="E26" s="53">
        <f>WPF!F36</f>
        <v>33260582</v>
      </c>
      <c r="F26" s="53">
        <f>WPF!G36</f>
        <v>9778746</v>
      </c>
      <c r="G26" s="329">
        <f>WPF!H36</f>
        <v>29316069</v>
      </c>
      <c r="H26" s="53">
        <f>WPF!I36</f>
        <v>65935704</v>
      </c>
      <c r="I26" s="53">
        <f>WPF!J36</f>
        <v>70891211</v>
      </c>
      <c r="J26" s="53">
        <f>WPF!K36</f>
        <v>15540000</v>
      </c>
      <c r="K26" s="53">
        <f>WPF!L36</f>
        <v>29000000</v>
      </c>
      <c r="L26" s="53">
        <f>WPF!M36</f>
        <v>10000000</v>
      </c>
      <c r="M26" s="53">
        <f>WPF!N36</f>
        <v>10000000</v>
      </c>
      <c r="N26" s="53">
        <f>WPF!O36</f>
        <v>0</v>
      </c>
      <c r="O26" s="53">
        <f>WPF!P36</f>
        <v>0</v>
      </c>
      <c r="P26" s="53">
        <f>WPF!Q36</f>
        <v>2000000</v>
      </c>
      <c r="Q26" s="55">
        <f>WPF!R36</f>
        <v>12000000</v>
      </c>
    </row>
    <row r="27" spans="1:17" ht="31.5" customHeight="1">
      <c r="A27" s="82" t="s">
        <v>140</v>
      </c>
      <c r="B27" s="191" t="s">
        <v>141</v>
      </c>
      <c r="C27" s="59">
        <f>C20-C24</f>
        <v>-18662324.64</v>
      </c>
      <c r="D27" s="59">
        <f aca="true" t="shared" si="3" ref="D27:Q27">D20-D24</f>
        <v>-26258788.569999993</v>
      </c>
      <c r="E27" s="59">
        <f>E20-E24</f>
        <v>-24150972</v>
      </c>
      <c r="F27" s="59">
        <f t="shared" si="3"/>
        <v>-2838313</v>
      </c>
      <c r="G27" s="332">
        <f t="shared" si="3"/>
        <v>-9475492</v>
      </c>
      <c r="H27" s="59">
        <f>H20-H24</f>
        <v>6935040</v>
      </c>
      <c r="I27" s="59">
        <f t="shared" si="3"/>
        <v>7266899</v>
      </c>
      <c r="J27" s="59">
        <f t="shared" si="3"/>
        <v>7106453</v>
      </c>
      <c r="K27" s="59">
        <f t="shared" si="3"/>
        <v>6150000</v>
      </c>
      <c r="L27" s="59">
        <f t="shared" si="3"/>
        <v>6250000</v>
      </c>
      <c r="M27" s="59">
        <f t="shared" si="3"/>
        <v>6801170</v>
      </c>
      <c r="N27" s="59">
        <f t="shared" si="3"/>
        <v>5062027.739999995</v>
      </c>
      <c r="O27" s="59">
        <f t="shared" si="3"/>
        <v>3450523.4599999934</v>
      </c>
      <c r="P27" s="59">
        <f t="shared" si="3"/>
        <v>3299999.569999993</v>
      </c>
      <c r="Q27" s="60">
        <f t="shared" si="3"/>
        <v>4523948.677499995</v>
      </c>
    </row>
    <row r="28" spans="1:17" ht="15.75" customHeight="1">
      <c r="A28" s="82" t="s">
        <v>142</v>
      </c>
      <c r="B28" s="191" t="s">
        <v>218</v>
      </c>
      <c r="C28" s="59">
        <f>SUM(C29:C33)</f>
        <v>3355000</v>
      </c>
      <c r="D28" s="59">
        <f>SUM(D29:D33)</f>
        <v>26258789</v>
      </c>
      <c r="E28" s="59">
        <f>SUM(E29:E33)</f>
        <v>24150972</v>
      </c>
      <c r="F28" s="59">
        <f>SUM(F29:F33)</f>
        <v>2838313</v>
      </c>
      <c r="G28" s="332">
        <f>SUM(G29:G33)</f>
        <v>9475492</v>
      </c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29" spans="1:17" ht="15.75" customHeight="1">
      <c r="A29" s="83" t="s">
        <v>69</v>
      </c>
      <c r="B29" s="62" t="s">
        <v>92</v>
      </c>
      <c r="C29" s="53">
        <v>3355000</v>
      </c>
      <c r="D29" s="53">
        <v>7546170</v>
      </c>
      <c r="E29" s="53">
        <v>6330000</v>
      </c>
      <c r="F29" s="53"/>
      <c r="G29" s="329">
        <v>2100000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5.75" customHeight="1">
      <c r="A30" s="83" t="s">
        <v>71</v>
      </c>
      <c r="B30" s="62" t="s">
        <v>93</v>
      </c>
      <c r="C30" s="53"/>
      <c r="D30" s="53">
        <v>4000000</v>
      </c>
      <c r="E30" s="53">
        <v>4810000</v>
      </c>
      <c r="F30" s="53"/>
      <c r="G30" s="32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.75" customHeight="1">
      <c r="A31" s="83" t="s">
        <v>79</v>
      </c>
      <c r="B31" s="62" t="s">
        <v>216</v>
      </c>
      <c r="C31" s="53"/>
      <c r="D31" s="53">
        <v>2699265</v>
      </c>
      <c r="E31" s="53"/>
      <c r="F31" s="53"/>
      <c r="G31" s="329"/>
      <c r="H31" s="59"/>
      <c r="I31" s="59"/>
      <c r="J31" s="59"/>
      <c r="K31" s="59"/>
      <c r="L31" s="59"/>
      <c r="M31" s="59"/>
      <c r="N31" s="59"/>
      <c r="O31" s="59"/>
      <c r="P31" s="59"/>
      <c r="Q31" s="60"/>
    </row>
    <row r="32" spans="1:17" ht="57" customHeight="1">
      <c r="A32" s="83" t="s">
        <v>82</v>
      </c>
      <c r="B32" s="80" t="s">
        <v>101</v>
      </c>
      <c r="C32" s="53"/>
      <c r="D32" s="53">
        <v>12013354</v>
      </c>
      <c r="E32" s="53"/>
      <c r="F32" s="53"/>
      <c r="G32" s="329">
        <v>375492</v>
      </c>
      <c r="H32" s="59"/>
      <c r="I32" s="59"/>
      <c r="J32" s="59"/>
      <c r="K32" s="59"/>
      <c r="L32" s="59"/>
      <c r="M32" s="59"/>
      <c r="N32" s="59"/>
      <c r="O32" s="59"/>
      <c r="P32" s="59"/>
      <c r="Q32" s="60"/>
    </row>
    <row r="33" spans="1:17" ht="15.75" customHeight="1">
      <c r="A33" s="83" t="s">
        <v>143</v>
      </c>
      <c r="B33" s="62" t="s">
        <v>100</v>
      </c>
      <c r="C33" s="53"/>
      <c r="D33" s="53"/>
      <c r="E33" s="53">
        <v>13010972</v>
      </c>
      <c r="F33" s="53">
        <v>2838313</v>
      </c>
      <c r="G33" s="329">
        <v>7000000</v>
      </c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5.75" customHeight="1">
      <c r="A34" s="298"/>
      <c r="B34" s="299"/>
      <c r="C34" s="300"/>
      <c r="D34" s="300"/>
      <c r="E34" s="300"/>
      <c r="F34" s="300"/>
      <c r="G34" s="300"/>
      <c r="H34" s="301"/>
      <c r="I34" s="301"/>
      <c r="J34" s="301"/>
      <c r="K34" s="301"/>
      <c r="L34" s="301"/>
      <c r="M34" s="301"/>
      <c r="N34" s="301"/>
      <c r="O34" s="301"/>
      <c r="P34" s="301"/>
      <c r="Q34" s="301"/>
    </row>
    <row r="35" spans="1:17" ht="30" customHeight="1">
      <c r="A35" s="302"/>
      <c r="B35" s="303"/>
      <c r="C35" s="304"/>
      <c r="D35" s="304"/>
      <c r="E35" s="304"/>
      <c r="F35" s="304"/>
      <c r="G35" s="304"/>
      <c r="H35" s="305"/>
      <c r="I35" s="305"/>
      <c r="J35" s="305"/>
      <c r="K35" s="305"/>
      <c r="L35" s="305"/>
      <c r="M35" s="305"/>
      <c r="N35" s="305"/>
      <c r="O35" s="305"/>
      <c r="P35" s="305"/>
      <c r="Q35" s="305"/>
    </row>
    <row r="36" spans="1:17" ht="30.75" customHeight="1">
      <c r="A36" s="302"/>
      <c r="B36" s="303"/>
      <c r="C36" s="304"/>
      <c r="D36" s="304"/>
      <c r="E36" s="304"/>
      <c r="F36" s="304"/>
      <c r="G36" s="304"/>
      <c r="H36" s="305"/>
      <c r="I36" s="305"/>
      <c r="J36" s="305"/>
      <c r="K36" s="305"/>
      <c r="L36" s="305"/>
      <c r="M36" s="305"/>
      <c r="N36" s="305"/>
      <c r="O36" s="305"/>
      <c r="P36" s="305"/>
      <c r="Q36" s="305"/>
    </row>
    <row r="37" spans="1:17" ht="15.75" customHeight="1">
      <c r="A37" s="302"/>
      <c r="B37" s="303"/>
      <c r="C37" s="304"/>
      <c r="D37" s="304"/>
      <c r="E37" s="304"/>
      <c r="F37" s="304"/>
      <c r="G37" s="304"/>
      <c r="H37" s="305"/>
      <c r="I37" s="305"/>
      <c r="J37" s="305"/>
      <c r="K37" s="305"/>
      <c r="L37" s="305"/>
      <c r="M37" s="305"/>
      <c r="N37" s="305"/>
      <c r="O37" s="305"/>
      <c r="P37" s="305"/>
      <c r="Q37" s="305"/>
    </row>
    <row r="38" spans="1:17" ht="15.75" customHeight="1" thickBot="1">
      <c r="A38" s="302"/>
      <c r="B38" s="303"/>
      <c r="C38" s="304"/>
      <c r="D38" s="304"/>
      <c r="E38" s="304"/>
      <c r="F38" s="304"/>
      <c r="G38" s="304"/>
      <c r="H38" s="305"/>
      <c r="I38" s="305"/>
      <c r="J38" s="305"/>
      <c r="K38" s="305"/>
      <c r="L38" s="305"/>
      <c r="M38" s="305"/>
      <c r="N38" s="305"/>
      <c r="O38" s="305"/>
      <c r="P38" s="305"/>
      <c r="Q38" s="305"/>
    </row>
    <row r="39" spans="1:17" ht="15.75" customHeight="1" thickBot="1">
      <c r="A39" s="620" t="s">
        <v>115</v>
      </c>
      <c r="B39" s="621" t="s">
        <v>64</v>
      </c>
      <c r="C39" s="622" t="s">
        <v>65</v>
      </c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</row>
    <row r="40" spans="1:17" ht="15.75" customHeight="1" thickBot="1">
      <c r="A40" s="620"/>
      <c r="B40" s="621"/>
      <c r="C40" s="624" t="s">
        <v>66</v>
      </c>
      <c r="D40" s="625"/>
      <c r="E40" s="625"/>
      <c r="F40" s="626"/>
      <c r="G40" s="623" t="s">
        <v>116</v>
      </c>
      <c r="H40" s="623"/>
      <c r="I40" s="623"/>
      <c r="J40" s="623"/>
      <c r="K40" s="623"/>
      <c r="L40" s="623"/>
      <c r="M40" s="623"/>
      <c r="N40" s="623"/>
      <c r="O40" s="623"/>
      <c r="P40" s="623"/>
      <c r="Q40" s="623"/>
    </row>
    <row r="41" spans="1:17" ht="15.75" customHeight="1" thickBot="1">
      <c r="A41" s="620"/>
      <c r="B41" s="621"/>
      <c r="C41" s="174">
        <v>2007</v>
      </c>
      <c r="D41" s="174">
        <v>2008</v>
      </c>
      <c r="E41" s="174">
        <v>2009</v>
      </c>
      <c r="F41" s="175">
        <v>2010</v>
      </c>
      <c r="G41" s="333">
        <v>2011</v>
      </c>
      <c r="H41" s="174">
        <v>2012</v>
      </c>
      <c r="I41" s="174">
        <v>2013</v>
      </c>
      <c r="J41" s="174">
        <v>2014</v>
      </c>
      <c r="K41" s="174">
        <v>2015</v>
      </c>
      <c r="L41" s="174">
        <v>2016</v>
      </c>
      <c r="M41" s="174">
        <v>2017</v>
      </c>
      <c r="N41" s="174">
        <v>2018</v>
      </c>
      <c r="O41" s="174">
        <v>2019</v>
      </c>
      <c r="P41" s="174">
        <v>2020</v>
      </c>
      <c r="Q41" s="176">
        <v>2021</v>
      </c>
    </row>
    <row r="42" spans="1:17" ht="14.25" customHeight="1">
      <c r="A42" s="82" t="s">
        <v>144</v>
      </c>
      <c r="B42" s="191" t="s">
        <v>219</v>
      </c>
      <c r="C42" s="59"/>
      <c r="D42" s="59"/>
      <c r="E42" s="59"/>
      <c r="F42" s="59"/>
      <c r="G42" s="332"/>
      <c r="H42" s="59">
        <f>SUM(H43:H45)</f>
        <v>6935040</v>
      </c>
      <c r="I42" s="59">
        <f aca="true" t="shared" si="4" ref="I42:Q42">SUM(I43:I45)</f>
        <v>7266899</v>
      </c>
      <c r="J42" s="59">
        <f t="shared" si="4"/>
        <v>7106453</v>
      </c>
      <c r="K42" s="59">
        <f t="shared" si="4"/>
        <v>6150000</v>
      </c>
      <c r="L42" s="59">
        <f t="shared" si="4"/>
        <v>6250000</v>
      </c>
      <c r="M42" s="59">
        <f t="shared" si="4"/>
        <v>6801170</v>
      </c>
      <c r="N42" s="59">
        <f t="shared" si="4"/>
        <v>5062028</v>
      </c>
      <c r="O42" s="59">
        <f t="shared" si="4"/>
        <v>3450523</v>
      </c>
      <c r="P42" s="59">
        <f t="shared" si="4"/>
        <v>3300000</v>
      </c>
      <c r="Q42" s="60">
        <f t="shared" si="4"/>
        <v>4523949</v>
      </c>
    </row>
    <row r="43" spans="1:17" ht="14.25" customHeight="1">
      <c r="A43" s="84" t="s">
        <v>69</v>
      </c>
      <c r="B43" s="62" t="s">
        <v>215</v>
      </c>
      <c r="C43" s="61"/>
      <c r="D43" s="54"/>
      <c r="E43" s="54"/>
      <c r="F43" s="85"/>
      <c r="G43" s="329"/>
      <c r="H43" s="54">
        <f>H53</f>
        <v>3535040</v>
      </c>
      <c r="I43" s="54">
        <f aca="true" t="shared" si="5" ref="I43:Q43">I53</f>
        <v>3666899</v>
      </c>
      <c r="J43" s="54">
        <f t="shared" si="5"/>
        <v>3506453</v>
      </c>
      <c r="K43" s="54">
        <f t="shared" si="5"/>
        <v>2550000</v>
      </c>
      <c r="L43" s="54">
        <f>L53</f>
        <v>2550000</v>
      </c>
      <c r="M43" s="54">
        <f t="shared" si="5"/>
        <v>2401170</v>
      </c>
      <c r="N43" s="54">
        <f t="shared" si="5"/>
        <v>62028</v>
      </c>
      <c r="O43" s="54">
        <f t="shared" si="5"/>
        <v>750523</v>
      </c>
      <c r="P43" s="54">
        <f t="shared" si="5"/>
        <v>600000</v>
      </c>
      <c r="Q43" s="57">
        <f t="shared" si="5"/>
        <v>423949</v>
      </c>
    </row>
    <row r="44" spans="1:17" ht="14.25" customHeight="1">
      <c r="A44" s="84" t="s">
        <v>71</v>
      </c>
      <c r="B44" s="62" t="s">
        <v>220</v>
      </c>
      <c r="C44" s="61"/>
      <c r="D44" s="54"/>
      <c r="E44" s="54"/>
      <c r="F44" s="85"/>
      <c r="G44" s="329"/>
      <c r="H44" s="54">
        <f>H54</f>
        <v>400000</v>
      </c>
      <c r="I44" s="54">
        <f aca="true" t="shared" si="6" ref="I44:Q44">I54</f>
        <v>600000</v>
      </c>
      <c r="J44" s="54">
        <f t="shared" si="6"/>
        <v>600000</v>
      </c>
      <c r="K44" s="54">
        <f t="shared" si="6"/>
        <v>600000</v>
      </c>
      <c r="L44" s="54">
        <f t="shared" si="6"/>
        <v>700000</v>
      </c>
      <c r="M44" s="54">
        <f t="shared" si="6"/>
        <v>1400000</v>
      </c>
      <c r="N44" s="54">
        <f t="shared" si="6"/>
        <v>0</v>
      </c>
      <c r="O44" s="54">
        <f t="shared" si="6"/>
        <v>0</v>
      </c>
      <c r="P44" s="54">
        <f t="shared" si="6"/>
        <v>0</v>
      </c>
      <c r="Q44" s="57">
        <f t="shared" si="6"/>
        <v>0</v>
      </c>
    </row>
    <row r="45" spans="1:17" ht="15" customHeight="1">
      <c r="A45" s="84" t="s">
        <v>79</v>
      </c>
      <c r="B45" s="62" t="s">
        <v>94</v>
      </c>
      <c r="C45" s="61"/>
      <c r="D45" s="54"/>
      <c r="E45" s="54"/>
      <c r="F45" s="85"/>
      <c r="G45" s="329"/>
      <c r="H45" s="54">
        <f>H55</f>
        <v>3000000</v>
      </c>
      <c r="I45" s="54">
        <f aca="true" t="shared" si="7" ref="I45:Q45">I55</f>
        <v>3000000</v>
      </c>
      <c r="J45" s="54">
        <f t="shared" si="7"/>
        <v>3000000</v>
      </c>
      <c r="K45" s="54">
        <f t="shared" si="7"/>
        <v>3000000</v>
      </c>
      <c r="L45" s="54">
        <f t="shared" si="7"/>
        <v>3000000</v>
      </c>
      <c r="M45" s="54">
        <f t="shared" si="7"/>
        <v>3000000</v>
      </c>
      <c r="N45" s="54">
        <f t="shared" si="7"/>
        <v>5000000</v>
      </c>
      <c r="O45" s="54">
        <f t="shared" si="7"/>
        <v>2700000</v>
      </c>
      <c r="P45" s="54">
        <f t="shared" si="7"/>
        <v>2700000</v>
      </c>
      <c r="Q45" s="57">
        <f t="shared" si="7"/>
        <v>4100000</v>
      </c>
    </row>
    <row r="46" spans="1:17" ht="15.75" customHeight="1">
      <c r="A46" s="82" t="s">
        <v>145</v>
      </c>
      <c r="B46" s="191" t="s">
        <v>112</v>
      </c>
      <c r="C46" s="59">
        <f>WPF!D24+WPF!D53</f>
        <v>39684305</v>
      </c>
      <c r="D46" s="59">
        <f>WPF!E24+WPF!E53</f>
        <v>31400550</v>
      </c>
      <c r="E46" s="59">
        <f>WPF!F24+WPF!F53</f>
        <v>28859761</v>
      </c>
      <c r="F46" s="59">
        <f>WPF!G24+WPF!G53</f>
        <v>10245475</v>
      </c>
      <c r="G46" s="332">
        <f>WPF!H24+WPF!H53</f>
        <v>14027077</v>
      </c>
      <c r="H46" s="59">
        <f>WPF!I24+WPF!I53</f>
        <v>0</v>
      </c>
      <c r="I46" s="59">
        <f>WPF!J24+WPF!J53</f>
        <v>0</v>
      </c>
      <c r="J46" s="59">
        <f>WPF!K24+WPF!K53</f>
        <v>0</v>
      </c>
      <c r="K46" s="59">
        <f>WPF!L24+WPF!L53</f>
        <v>0</v>
      </c>
      <c r="L46" s="59">
        <f>WPF!M24+WPF!M53</f>
        <v>0</v>
      </c>
      <c r="M46" s="59">
        <f>WPF!N24+WPF!N53</f>
        <v>0</v>
      </c>
      <c r="N46" s="59">
        <f>WPF!O24+WPF!O53</f>
        <v>0</v>
      </c>
      <c r="O46" s="59">
        <f>WPF!P24+WPF!P53</f>
        <v>0</v>
      </c>
      <c r="P46" s="59">
        <f>WPF!Q24+WPF!Q53</f>
        <v>0</v>
      </c>
      <c r="Q46" s="60">
        <f>WPF!R24+WPF!R53</f>
        <v>0</v>
      </c>
    </row>
    <row r="47" spans="1:17" ht="11.25" customHeight="1">
      <c r="A47" s="181" t="s">
        <v>69</v>
      </c>
      <c r="B47" s="62" t="s">
        <v>92</v>
      </c>
      <c r="C47" s="53">
        <v>3355000</v>
      </c>
      <c r="D47" s="53">
        <v>7546170</v>
      </c>
      <c r="E47" s="53">
        <v>6330000</v>
      </c>
      <c r="F47" s="53"/>
      <c r="G47" s="329">
        <v>2100000</v>
      </c>
      <c r="H47" s="53"/>
      <c r="I47" s="53"/>
      <c r="J47" s="53"/>
      <c r="K47" s="53"/>
      <c r="L47" s="53"/>
      <c r="M47" s="53"/>
      <c r="N47" s="53"/>
      <c r="O47" s="53"/>
      <c r="P47" s="53"/>
      <c r="Q47" s="55"/>
    </row>
    <row r="48" spans="1:17" ht="11.25" customHeight="1">
      <c r="A48" s="181" t="s">
        <v>71</v>
      </c>
      <c r="B48" s="62" t="s">
        <v>93</v>
      </c>
      <c r="C48" s="53"/>
      <c r="D48" s="53">
        <v>4000000</v>
      </c>
      <c r="E48" s="53">
        <v>4810000</v>
      </c>
      <c r="F48" s="53"/>
      <c r="G48" s="329"/>
      <c r="H48" s="53"/>
      <c r="I48" s="53"/>
      <c r="J48" s="53"/>
      <c r="K48" s="53"/>
      <c r="L48" s="53"/>
      <c r="M48" s="53"/>
      <c r="N48" s="53"/>
      <c r="O48" s="53"/>
      <c r="P48" s="53"/>
      <c r="Q48" s="55"/>
    </row>
    <row r="49" spans="1:17" ht="11.25" customHeight="1">
      <c r="A49" s="181" t="s">
        <v>79</v>
      </c>
      <c r="B49" s="62" t="s">
        <v>100</v>
      </c>
      <c r="C49" s="53"/>
      <c r="D49" s="53"/>
      <c r="E49" s="53">
        <v>14000000</v>
      </c>
      <c r="F49" s="53">
        <v>9000000</v>
      </c>
      <c r="G49" s="329">
        <v>11500000</v>
      </c>
      <c r="H49" s="53"/>
      <c r="I49" s="53"/>
      <c r="J49" s="53"/>
      <c r="K49" s="53"/>
      <c r="L49" s="53"/>
      <c r="M49" s="53"/>
      <c r="N49" s="53"/>
      <c r="O49" s="53"/>
      <c r="P49" s="53"/>
      <c r="Q49" s="55"/>
    </row>
    <row r="50" spans="1:17" ht="51.75" customHeight="1">
      <c r="A50" s="181" t="s">
        <v>82</v>
      </c>
      <c r="B50" s="80" t="s">
        <v>101</v>
      </c>
      <c r="C50" s="53">
        <v>13695715</v>
      </c>
      <c r="D50" s="53">
        <v>15733115</v>
      </c>
      <c r="E50" s="53">
        <v>3719761</v>
      </c>
      <c r="F50" s="53">
        <v>1245475</v>
      </c>
      <c r="G50" s="329">
        <v>427077</v>
      </c>
      <c r="H50" s="53"/>
      <c r="I50" s="53"/>
      <c r="J50" s="53"/>
      <c r="K50" s="53"/>
      <c r="L50" s="53"/>
      <c r="M50" s="53"/>
      <c r="N50" s="53"/>
      <c r="O50" s="53"/>
      <c r="P50" s="53"/>
      <c r="Q50" s="55"/>
    </row>
    <row r="51" spans="1:17" ht="14.25" customHeight="1">
      <c r="A51" s="181" t="s">
        <v>143</v>
      </c>
      <c r="B51" s="81" t="s">
        <v>102</v>
      </c>
      <c r="C51" s="53">
        <v>22633590</v>
      </c>
      <c r="D51" s="53">
        <v>4121265</v>
      </c>
      <c r="E51" s="53"/>
      <c r="F51" s="53"/>
      <c r="G51" s="329"/>
      <c r="H51" s="53"/>
      <c r="I51" s="53"/>
      <c r="J51" s="53"/>
      <c r="K51" s="53"/>
      <c r="L51" s="53"/>
      <c r="M51" s="53"/>
      <c r="N51" s="53"/>
      <c r="O51" s="53"/>
      <c r="P51" s="53"/>
      <c r="Q51" s="55"/>
    </row>
    <row r="52" spans="1:17" ht="21" customHeight="1">
      <c r="A52" s="82" t="s">
        <v>217</v>
      </c>
      <c r="B52" s="191" t="s">
        <v>113</v>
      </c>
      <c r="C52" s="59">
        <f>WPF!D29+WPF!D34</f>
        <v>1167600</v>
      </c>
      <c r="D52" s="59">
        <f>WPF!E29+WPF!E34</f>
        <v>1422000</v>
      </c>
      <c r="E52" s="59">
        <f>WPF!F29+WPF!F34</f>
        <v>3463314</v>
      </c>
      <c r="F52" s="59">
        <f>WPF!G29+WPF!G34</f>
        <v>6980085</v>
      </c>
      <c r="G52" s="332">
        <f>WPF!H29+WPF!H34</f>
        <v>4551585</v>
      </c>
      <c r="H52" s="59">
        <f>WPF!I29+WPF!I34</f>
        <v>6935040</v>
      </c>
      <c r="I52" s="59">
        <f>WPF!J29+WPF!J34</f>
        <v>7266899</v>
      </c>
      <c r="J52" s="59">
        <f>WPF!K29+WPF!K34</f>
        <v>7106453</v>
      </c>
      <c r="K52" s="59">
        <f>WPF!L29+WPF!L34</f>
        <v>6150000</v>
      </c>
      <c r="L52" s="59">
        <f>WPF!M29+WPF!M34</f>
        <v>6250000</v>
      </c>
      <c r="M52" s="59">
        <f>WPF!N29+WPF!N34</f>
        <v>6801170</v>
      </c>
      <c r="N52" s="59">
        <f>WPF!O29+WPF!O34</f>
        <v>5062028</v>
      </c>
      <c r="O52" s="59">
        <f>WPF!P29+WPF!P34</f>
        <v>3450523</v>
      </c>
      <c r="P52" s="59">
        <f>WPF!Q29+WPF!Q34</f>
        <v>3300000</v>
      </c>
      <c r="Q52" s="60">
        <f>WPF!R29+WPF!R34</f>
        <v>4523949</v>
      </c>
    </row>
    <row r="53" spans="1:17" ht="12" customHeight="1">
      <c r="A53" s="84" t="s">
        <v>69</v>
      </c>
      <c r="B53" s="62" t="s">
        <v>92</v>
      </c>
      <c r="C53" s="61">
        <v>1167600</v>
      </c>
      <c r="D53" s="54">
        <v>1422000</v>
      </c>
      <c r="E53" s="54">
        <v>2963314</v>
      </c>
      <c r="F53" s="85">
        <v>3340085</v>
      </c>
      <c r="G53" s="329">
        <f>WPF!H30</f>
        <v>2141585</v>
      </c>
      <c r="H53" s="54">
        <f>WPF!I30</f>
        <v>3535040</v>
      </c>
      <c r="I53" s="54">
        <f>WPF!J30</f>
        <v>3666899</v>
      </c>
      <c r="J53" s="54">
        <f>WPF!K30</f>
        <v>3506453</v>
      </c>
      <c r="K53" s="54">
        <f>WPF!L30</f>
        <v>2550000</v>
      </c>
      <c r="L53" s="54">
        <f>WPF!M30</f>
        <v>2550000</v>
      </c>
      <c r="M53" s="54">
        <f>WPF!N30</f>
        <v>2401170</v>
      </c>
      <c r="N53" s="54">
        <f>WPF!O30</f>
        <v>62028</v>
      </c>
      <c r="O53" s="54">
        <f>WPF!P30</f>
        <v>750523</v>
      </c>
      <c r="P53" s="54">
        <f>WPF!Q30</f>
        <v>600000</v>
      </c>
      <c r="Q53" s="57">
        <f>WPF!R30</f>
        <v>423949</v>
      </c>
    </row>
    <row r="54" spans="1:17" ht="12" customHeight="1">
      <c r="A54" s="84" t="s">
        <v>71</v>
      </c>
      <c r="B54" s="62" t="s">
        <v>93</v>
      </c>
      <c r="C54" s="61"/>
      <c r="D54" s="54"/>
      <c r="E54" s="54">
        <v>500000</v>
      </c>
      <c r="F54" s="85">
        <v>3600000</v>
      </c>
      <c r="G54" s="329">
        <f>WPF!H31</f>
        <v>410000</v>
      </c>
      <c r="H54" s="54">
        <f>WPF!I31</f>
        <v>400000</v>
      </c>
      <c r="I54" s="54">
        <f>WPF!J31</f>
        <v>600000</v>
      </c>
      <c r="J54" s="54">
        <f>WPF!K31</f>
        <v>600000</v>
      </c>
      <c r="K54" s="54">
        <f>WPF!L31</f>
        <v>600000</v>
      </c>
      <c r="L54" s="54">
        <f>WPF!M31</f>
        <v>700000</v>
      </c>
      <c r="M54" s="54">
        <f>WPF!N31</f>
        <v>1400000</v>
      </c>
      <c r="N54" s="54">
        <f>WPF!O31</f>
        <v>0</v>
      </c>
      <c r="O54" s="54">
        <f>WPF!P31</f>
        <v>0</v>
      </c>
      <c r="P54" s="54">
        <f>WPF!Q31</f>
        <v>0</v>
      </c>
      <c r="Q54" s="57">
        <f>WPF!R31</f>
        <v>0</v>
      </c>
    </row>
    <row r="55" spans="1:17" ht="12.75" customHeight="1">
      <c r="A55" s="84" t="s">
        <v>79</v>
      </c>
      <c r="B55" s="62" t="s">
        <v>94</v>
      </c>
      <c r="C55" s="61"/>
      <c r="D55" s="54"/>
      <c r="E55" s="54"/>
      <c r="F55" s="85"/>
      <c r="G55" s="329">
        <f>WPF!H32</f>
        <v>2000000</v>
      </c>
      <c r="H55" s="54">
        <f>WPF!I32</f>
        <v>3000000</v>
      </c>
      <c r="I55" s="54">
        <f>WPF!J32</f>
        <v>3000000</v>
      </c>
      <c r="J55" s="54">
        <f>WPF!K32</f>
        <v>3000000</v>
      </c>
      <c r="K55" s="54">
        <f>WPF!L32</f>
        <v>3000000</v>
      </c>
      <c r="L55" s="54">
        <f>WPF!M32</f>
        <v>3000000</v>
      </c>
      <c r="M55" s="54">
        <f>WPF!N32</f>
        <v>3000000</v>
      </c>
      <c r="N55" s="54">
        <f>WPF!O32</f>
        <v>5000000</v>
      </c>
      <c r="O55" s="54">
        <f>WPF!P32</f>
        <v>2700000</v>
      </c>
      <c r="P55" s="54">
        <f>WPF!Q32</f>
        <v>2700000</v>
      </c>
      <c r="Q55" s="57">
        <f>WPF!R32</f>
        <v>4100000</v>
      </c>
    </row>
    <row r="56" spans="1:17" ht="36" customHeight="1">
      <c r="A56" s="194">
        <v>16</v>
      </c>
      <c r="B56" s="195" t="s">
        <v>146</v>
      </c>
      <c r="C56" s="196">
        <f>(WPF!D14+WPF!D24)/'Prognoza długu'!C25%</f>
        <v>201.55468007536433</v>
      </c>
      <c r="D56" s="196">
        <f>(WPF!E14+WPF!E24)/'Prognoza długu'!D25%</f>
        <v>157.7697469829884</v>
      </c>
      <c r="E56" s="196">
        <f>(WPF!F14+WPF!F24)/'Prognoza długu'!E25%</f>
        <v>116.24893719986517</v>
      </c>
      <c r="F56" s="196">
        <f>(WPF!G14+WPF!G24)/'Prognoza długu'!F25%</f>
        <v>109.50668943564182</v>
      </c>
      <c r="G56" s="334">
        <f>(WPF!H14+WPF!H24)/'Prognoza długu'!G25%</f>
        <v>107.62187857596479</v>
      </c>
      <c r="H56" s="196">
        <f>(WPF!I14+WPF!I24)/'Prognoza długu'!H25%</f>
        <v>126.94632512588151</v>
      </c>
      <c r="I56" s="196">
        <f>(WPF!J14+WPF!J24)/'Prognoza długu'!I25%</f>
        <v>130.9160233592218</v>
      </c>
      <c r="J56" s="196">
        <f>(WPF!K14+WPF!K24)/'Prognoza długu'!J25%</f>
        <v>122.46529935922682</v>
      </c>
      <c r="K56" s="196">
        <f>(WPF!L14+WPF!L24)/'Prognoza długu'!K25%</f>
        <v>125.2965200671732</v>
      </c>
      <c r="L56" s="196">
        <f>(WPF!M14+WPF!M24)/'Prognoza długu'!L25%</f>
        <v>118.1364785074917</v>
      </c>
      <c r="M56" s="196">
        <f>(WPF!N14+WPF!N24)/'Prognoza długu'!M25%</f>
        <v>118.40678542554939</v>
      </c>
      <c r="N56" s="196">
        <f>(WPF!O14+WPF!O24)/'Prognoza długu'!N25%</f>
        <v>104.77691502268604</v>
      </c>
      <c r="O56" s="196">
        <f>(WPF!P14+WPF!P24)/'Prognoza długu'!O25%</f>
        <v>103.2185247142402</v>
      </c>
      <c r="P56" s="196">
        <f>(WPF!Q14+WPF!Q24)/'Prognoza długu'!P25%</f>
        <v>102.98059659104011</v>
      </c>
      <c r="Q56" s="197">
        <f>(WPF!R14+WPF!R24)/'Prognoza długu'!Q25%</f>
        <v>103.96369288377025</v>
      </c>
    </row>
    <row r="57" spans="1:17" ht="12.7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</row>
    <row r="58" spans="1:17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</sheetData>
  <sheetProtection/>
  <mergeCells count="11">
    <mergeCell ref="A39:A41"/>
    <mergeCell ref="B39:B41"/>
    <mergeCell ref="C39:Q39"/>
    <mergeCell ref="C40:F40"/>
    <mergeCell ref="G40:Q40"/>
    <mergeCell ref="A6:Q6"/>
    <mergeCell ref="A7:A9"/>
    <mergeCell ref="B7:B9"/>
    <mergeCell ref="C7:Q7"/>
    <mergeCell ref="G8:Q8"/>
    <mergeCell ref="C8:F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2"/>
  <sheetViews>
    <sheetView tabSelected="1" view="pageLayout" zoomScaleNormal="90" workbookViewId="0" topLeftCell="A82">
      <pane xSplit="16875" topLeftCell="L1" activePane="topLeft" state="split"/>
      <selection pane="topLeft" activeCell="B91" sqref="B91"/>
      <selection pane="topRight" activeCell="L17" sqref="L17"/>
    </sheetView>
  </sheetViews>
  <sheetFormatPr defaultColWidth="11.57421875" defaultRowHeight="12.75"/>
  <cols>
    <col min="1" max="1" width="5.28125" style="0" customWidth="1"/>
    <col min="2" max="2" width="35.57421875" style="0" customWidth="1"/>
    <col min="3" max="3" width="10.421875" style="31" customWidth="1"/>
    <col min="4" max="4" width="6.57421875" style="31" customWidth="1"/>
    <col min="5" max="5" width="7.00390625" style="31" customWidth="1"/>
    <col min="6" max="6" width="5.00390625" style="31" customWidth="1"/>
    <col min="7" max="7" width="7.00390625" style="31" customWidth="1"/>
    <col min="8" max="8" width="6.00390625" style="31" customWidth="1"/>
    <col min="9" max="9" width="16.7109375" style="31" customWidth="1"/>
    <col min="10" max="10" width="14.421875" style="31" customWidth="1"/>
    <col min="11" max="11" width="11.421875" style="31" customWidth="1"/>
    <col min="12" max="12" width="14.7109375" style="31" customWidth="1"/>
    <col min="13" max="13" width="12.8515625" style="31" customWidth="1"/>
    <col min="14" max="14" width="13.421875" style="31" customWidth="1"/>
    <col min="15" max="15" width="12.7109375" style="31" customWidth="1"/>
    <col min="16" max="16" width="12.57421875" style="31" customWidth="1"/>
    <col min="17" max="17" width="0.42578125" style="31" customWidth="1"/>
    <col min="18" max="18" width="16.57421875" style="0" customWidth="1"/>
    <col min="19" max="19" width="11.7109375" style="0" bestFit="1" customWidth="1"/>
  </cols>
  <sheetData>
    <row r="1" spans="1:18" s="34" customFormat="1" ht="15" customHeight="1">
      <c r="A1" s="472"/>
      <c r="B1" s="199"/>
      <c r="C1" s="199"/>
      <c r="D1" s="199"/>
      <c r="E1" s="199"/>
      <c r="F1" s="199"/>
      <c r="G1" s="200"/>
      <c r="H1" s="199"/>
      <c r="I1" s="199"/>
      <c r="J1" s="199"/>
      <c r="K1" s="199"/>
      <c r="L1" s="199"/>
      <c r="M1" s="199"/>
      <c r="N1" s="199"/>
      <c r="O1" s="199"/>
      <c r="P1" s="65" t="s">
        <v>147</v>
      </c>
      <c r="Q1" s="65"/>
      <c r="R1" s="199"/>
    </row>
    <row r="2" spans="1:18" s="37" customFormat="1" ht="4.5" customHeight="1">
      <c r="A2" s="472"/>
      <c r="B2" s="199"/>
      <c r="C2" s="199"/>
      <c r="D2" s="199"/>
      <c r="E2" s="199"/>
      <c r="F2" s="199"/>
      <c r="G2" s="201"/>
      <c r="H2" s="199"/>
      <c r="I2" s="199"/>
      <c r="J2" s="199"/>
      <c r="K2" s="199"/>
      <c r="L2" s="199"/>
      <c r="M2" s="199"/>
      <c r="N2" s="199"/>
      <c r="O2" s="199"/>
      <c r="P2" s="70"/>
      <c r="Q2" s="71"/>
      <c r="R2" s="199"/>
    </row>
    <row r="3" spans="1:18" s="37" customFormat="1" ht="12.75" customHeight="1">
      <c r="A3" s="472"/>
      <c r="B3" s="199"/>
      <c r="C3" s="199"/>
      <c r="D3" s="199"/>
      <c r="E3" s="199"/>
      <c r="F3" s="199"/>
      <c r="G3" s="202"/>
      <c r="H3" s="199"/>
      <c r="I3" s="199"/>
      <c r="J3" s="199"/>
      <c r="K3" s="199"/>
      <c r="L3" s="199"/>
      <c r="M3" s="199"/>
      <c r="N3" s="199"/>
      <c r="O3" s="199"/>
      <c r="P3" s="75" t="s">
        <v>265</v>
      </c>
      <c r="Q3" s="71"/>
      <c r="R3" s="199"/>
    </row>
    <row r="4" spans="1:18" s="37" customFormat="1" ht="12.75" customHeight="1">
      <c r="A4" s="472"/>
      <c r="B4" s="199"/>
      <c r="C4" s="199"/>
      <c r="D4" s="199"/>
      <c r="E4" s="199"/>
      <c r="F4" s="199"/>
      <c r="G4" s="202"/>
      <c r="H4" s="199"/>
      <c r="I4" s="199"/>
      <c r="J4" s="199"/>
      <c r="K4" s="199"/>
      <c r="L4" s="199"/>
      <c r="M4" s="199"/>
      <c r="N4" s="199"/>
      <c r="O4" s="199"/>
      <c r="P4" s="75" t="s">
        <v>49</v>
      </c>
      <c r="Q4" s="71"/>
      <c r="R4" s="199"/>
    </row>
    <row r="5" spans="1:18" s="37" customFormat="1" ht="12.75" customHeight="1" thickBot="1">
      <c r="A5" s="472"/>
      <c r="B5" s="199"/>
      <c r="C5" s="199"/>
      <c r="D5" s="199"/>
      <c r="E5" s="199"/>
      <c r="F5" s="199"/>
      <c r="G5" s="202"/>
      <c r="H5" s="199"/>
      <c r="I5" s="199"/>
      <c r="J5" s="199"/>
      <c r="K5" s="199"/>
      <c r="L5" s="199"/>
      <c r="M5" s="199"/>
      <c r="N5" s="199"/>
      <c r="O5" s="199"/>
      <c r="P5" s="75" t="s">
        <v>266</v>
      </c>
      <c r="Q5" s="71"/>
      <c r="R5" s="199"/>
    </row>
    <row r="6" spans="1:18" s="37" customFormat="1" ht="12.75" customHeight="1">
      <c r="A6" s="660" t="s">
        <v>229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</row>
    <row r="7" spans="1:18" s="37" customFormat="1" ht="12.75" customHeight="1" thickBot="1">
      <c r="A7" s="661"/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</row>
    <row r="8" spans="1:18" s="37" customFormat="1" ht="12.75" customHeight="1">
      <c r="A8" s="635" t="s">
        <v>115</v>
      </c>
      <c r="B8" s="638" t="s">
        <v>148</v>
      </c>
      <c r="C8" s="641" t="s">
        <v>149</v>
      </c>
      <c r="D8" s="644" t="s">
        <v>243</v>
      </c>
      <c r="E8" s="644"/>
      <c r="F8" s="644" t="s">
        <v>150</v>
      </c>
      <c r="G8" s="644"/>
      <c r="H8" s="644"/>
      <c r="I8" s="627" t="s">
        <v>151</v>
      </c>
      <c r="J8" s="627" t="s">
        <v>152</v>
      </c>
      <c r="K8" s="627"/>
      <c r="L8" s="627"/>
      <c r="M8" s="627"/>
      <c r="N8" s="627"/>
      <c r="O8" s="627"/>
      <c r="P8" s="627"/>
      <c r="Q8" s="627"/>
      <c r="R8" s="628" t="s">
        <v>153</v>
      </c>
    </row>
    <row r="9" spans="1:18" s="37" customFormat="1" ht="12.75" customHeight="1">
      <c r="A9" s="636"/>
      <c r="B9" s="639"/>
      <c r="C9" s="642"/>
      <c r="D9" s="645"/>
      <c r="E9" s="645"/>
      <c r="F9" s="645"/>
      <c r="G9" s="645"/>
      <c r="H9" s="645"/>
      <c r="I9" s="646"/>
      <c r="J9" s="631">
        <v>2011</v>
      </c>
      <c r="K9" s="631"/>
      <c r="L9" s="632"/>
      <c r="M9" s="633">
        <v>2012</v>
      </c>
      <c r="N9" s="633">
        <v>2013</v>
      </c>
      <c r="O9" s="633">
        <v>2014</v>
      </c>
      <c r="P9" s="633">
        <v>2015</v>
      </c>
      <c r="Q9" s="471">
        <v>2015</v>
      </c>
      <c r="R9" s="629"/>
    </row>
    <row r="10" spans="1:18" s="37" customFormat="1" ht="23.25" customHeight="1" thickBot="1">
      <c r="A10" s="637"/>
      <c r="B10" s="640"/>
      <c r="C10" s="643"/>
      <c r="D10" s="473" t="s">
        <v>154</v>
      </c>
      <c r="E10" s="473" t="s">
        <v>155</v>
      </c>
      <c r="F10" s="473" t="s">
        <v>156</v>
      </c>
      <c r="G10" s="473" t="s">
        <v>157</v>
      </c>
      <c r="H10" s="473" t="s">
        <v>158</v>
      </c>
      <c r="I10" s="647"/>
      <c r="J10" s="474" t="s">
        <v>212</v>
      </c>
      <c r="K10" s="474" t="s">
        <v>213</v>
      </c>
      <c r="L10" s="474" t="s">
        <v>214</v>
      </c>
      <c r="M10" s="634"/>
      <c r="N10" s="634"/>
      <c r="O10" s="634"/>
      <c r="P10" s="634"/>
      <c r="Q10" s="473"/>
      <c r="R10" s="630"/>
    </row>
    <row r="11" spans="1:18" s="32" customFormat="1" ht="15.75" customHeight="1">
      <c r="A11" s="203"/>
      <c r="B11" s="204" t="s">
        <v>159</v>
      </c>
      <c r="C11" s="205" t="s">
        <v>84</v>
      </c>
      <c r="D11" s="205" t="s">
        <v>84</v>
      </c>
      <c r="E11" s="205" t="s">
        <v>84</v>
      </c>
      <c r="F11" s="205"/>
      <c r="G11" s="205"/>
      <c r="H11" s="205"/>
      <c r="I11" s="206">
        <f aca="true" t="shared" si="0" ref="I11:P11">I12+I13</f>
        <v>209263484</v>
      </c>
      <c r="J11" s="207">
        <f>J12+J13</f>
        <v>16202535</v>
      </c>
      <c r="K11" s="336">
        <f t="shared" si="0"/>
        <v>-2680795</v>
      </c>
      <c r="L11" s="207">
        <f t="shared" si="0"/>
        <v>13521740</v>
      </c>
      <c r="M11" s="206">
        <f t="shared" si="0"/>
        <v>71313221</v>
      </c>
      <c r="N11" s="206">
        <f t="shared" si="0"/>
        <v>71481011</v>
      </c>
      <c r="O11" s="208">
        <f t="shared" si="0"/>
        <v>15909000</v>
      </c>
      <c r="P11" s="208">
        <f t="shared" si="0"/>
        <v>29369000</v>
      </c>
      <c r="Q11" s="209">
        <v>0</v>
      </c>
      <c r="R11" s="210">
        <f aca="true" t="shared" si="1" ref="R11:R16">SUM(L11:P11)</f>
        <v>201593972</v>
      </c>
    </row>
    <row r="12" spans="1:18" s="38" customFormat="1" ht="14.25" customHeight="1">
      <c r="A12" s="211"/>
      <c r="B12" s="212" t="s">
        <v>160</v>
      </c>
      <c r="C12" s="109" t="s">
        <v>84</v>
      </c>
      <c r="D12" s="109" t="s">
        <v>84</v>
      </c>
      <c r="E12" s="109" t="s">
        <v>84</v>
      </c>
      <c r="F12" s="109"/>
      <c r="G12" s="109"/>
      <c r="H12" s="109"/>
      <c r="I12" s="213">
        <f aca="true" t="shared" si="2" ref="I12:P12">I92</f>
        <v>7764834</v>
      </c>
      <c r="J12" s="214">
        <f t="shared" si="2"/>
        <v>481517</v>
      </c>
      <c r="K12" s="214">
        <f t="shared" si="2"/>
        <v>332000</v>
      </c>
      <c r="L12" s="214">
        <f t="shared" si="2"/>
        <v>813517</v>
      </c>
      <c r="M12" s="213">
        <f t="shared" si="2"/>
        <v>5377517</v>
      </c>
      <c r="N12" s="213">
        <f t="shared" si="2"/>
        <v>589800</v>
      </c>
      <c r="O12" s="213">
        <f t="shared" si="2"/>
        <v>369000</v>
      </c>
      <c r="P12" s="213">
        <f t="shared" si="2"/>
        <v>369000</v>
      </c>
      <c r="Q12" s="215">
        <v>0</v>
      </c>
      <c r="R12" s="216">
        <f t="shared" si="1"/>
        <v>7518834</v>
      </c>
    </row>
    <row r="13" spans="1:19" s="38" customFormat="1" ht="14.25" customHeight="1">
      <c r="A13" s="211"/>
      <c r="B13" s="212" t="s">
        <v>161</v>
      </c>
      <c r="C13" s="109" t="s">
        <v>84</v>
      </c>
      <c r="D13" s="109" t="s">
        <v>84</v>
      </c>
      <c r="E13" s="109" t="s">
        <v>84</v>
      </c>
      <c r="F13" s="109"/>
      <c r="G13" s="109"/>
      <c r="H13" s="109"/>
      <c r="I13" s="213">
        <f aca="true" t="shared" si="3" ref="I13:P14">I14</f>
        <v>201498650</v>
      </c>
      <c r="J13" s="214">
        <f t="shared" si="3"/>
        <v>15721018</v>
      </c>
      <c r="K13" s="214">
        <f t="shared" si="3"/>
        <v>-3012795</v>
      </c>
      <c r="L13" s="214">
        <f t="shared" si="3"/>
        <v>12708223</v>
      </c>
      <c r="M13" s="213">
        <f t="shared" si="3"/>
        <v>65935704</v>
      </c>
      <c r="N13" s="213">
        <f t="shared" si="3"/>
        <v>70891211</v>
      </c>
      <c r="O13" s="213">
        <f t="shared" si="3"/>
        <v>15540000</v>
      </c>
      <c r="P13" s="213">
        <f t="shared" si="3"/>
        <v>29000000</v>
      </c>
      <c r="Q13" s="215">
        <v>0</v>
      </c>
      <c r="R13" s="216">
        <f t="shared" si="1"/>
        <v>194075138</v>
      </c>
      <c r="S13" s="39"/>
    </row>
    <row r="14" spans="1:18" s="40" customFormat="1" ht="30.75" customHeight="1">
      <c r="A14" s="217" t="s">
        <v>162</v>
      </c>
      <c r="B14" s="218" t="s">
        <v>291</v>
      </c>
      <c r="C14" s="219" t="s">
        <v>84</v>
      </c>
      <c r="D14" s="219" t="s">
        <v>84</v>
      </c>
      <c r="E14" s="219" t="s">
        <v>84</v>
      </c>
      <c r="F14" s="219"/>
      <c r="G14" s="219"/>
      <c r="H14" s="219"/>
      <c r="I14" s="220">
        <f>I15</f>
        <v>201498650</v>
      </c>
      <c r="J14" s="221">
        <f t="shared" si="3"/>
        <v>15721018</v>
      </c>
      <c r="K14" s="337">
        <f t="shared" si="3"/>
        <v>-3012795</v>
      </c>
      <c r="L14" s="221">
        <f t="shared" si="3"/>
        <v>12708223</v>
      </c>
      <c r="M14" s="220">
        <f t="shared" si="3"/>
        <v>65935704</v>
      </c>
      <c r="N14" s="220">
        <f t="shared" si="3"/>
        <v>70891211</v>
      </c>
      <c r="O14" s="222">
        <f>O15</f>
        <v>15540000</v>
      </c>
      <c r="P14" s="222">
        <f>P15</f>
        <v>29000000</v>
      </c>
      <c r="Q14" s="220">
        <f>Q15</f>
        <v>0</v>
      </c>
      <c r="R14" s="223">
        <f>SUM(L14:P14)</f>
        <v>194075138</v>
      </c>
    </row>
    <row r="15" spans="1:22" s="38" customFormat="1" ht="15.75">
      <c r="A15" s="211"/>
      <c r="B15" s="212" t="s">
        <v>161</v>
      </c>
      <c r="C15" s="109" t="s">
        <v>84</v>
      </c>
      <c r="D15" s="109" t="s">
        <v>84</v>
      </c>
      <c r="E15" s="109" t="s">
        <v>84</v>
      </c>
      <c r="F15" s="109"/>
      <c r="G15" s="109"/>
      <c r="H15" s="109"/>
      <c r="I15" s="213">
        <f aca="true" t="shared" si="4" ref="I15:R15">I17+I73</f>
        <v>201498650</v>
      </c>
      <c r="J15" s="213">
        <f t="shared" si="4"/>
        <v>15721018</v>
      </c>
      <c r="K15" s="213">
        <f t="shared" si="4"/>
        <v>-3012795</v>
      </c>
      <c r="L15" s="213">
        <f t="shared" si="4"/>
        <v>12708223</v>
      </c>
      <c r="M15" s="213">
        <f t="shared" si="4"/>
        <v>65935704</v>
      </c>
      <c r="N15" s="213">
        <f t="shared" si="4"/>
        <v>70891211</v>
      </c>
      <c r="O15" s="213">
        <f t="shared" si="4"/>
        <v>15540000</v>
      </c>
      <c r="P15" s="213">
        <f t="shared" si="4"/>
        <v>29000000</v>
      </c>
      <c r="Q15" s="213">
        <f t="shared" si="4"/>
        <v>0</v>
      </c>
      <c r="R15" s="213">
        <f t="shared" si="4"/>
        <v>194075138</v>
      </c>
      <c r="S15" s="456" t="e">
        <f>S18+S73</f>
        <v>#REF!</v>
      </c>
      <c r="T15" s="41"/>
      <c r="U15" s="41"/>
      <c r="V15" s="41"/>
    </row>
    <row r="16" spans="1:29" s="44" customFormat="1" ht="55.5" customHeight="1">
      <c r="A16" s="217" t="s">
        <v>163</v>
      </c>
      <c r="B16" s="460" t="s">
        <v>164</v>
      </c>
      <c r="C16" s="219" t="s">
        <v>84</v>
      </c>
      <c r="D16" s="219" t="s">
        <v>84</v>
      </c>
      <c r="E16" s="219" t="s">
        <v>84</v>
      </c>
      <c r="F16" s="219"/>
      <c r="G16" s="219"/>
      <c r="H16" s="219"/>
      <c r="I16" s="220">
        <f aca="true" t="shared" si="5" ref="I16:P16">I17</f>
        <v>187387791</v>
      </c>
      <c r="J16" s="221">
        <f t="shared" si="5"/>
        <v>14919818</v>
      </c>
      <c r="K16" s="337">
        <f t="shared" si="5"/>
        <v>-3073061</v>
      </c>
      <c r="L16" s="221">
        <f t="shared" si="5"/>
        <v>11846757</v>
      </c>
      <c r="M16" s="220">
        <f t="shared" si="5"/>
        <v>56308686</v>
      </c>
      <c r="N16" s="220">
        <f t="shared" si="5"/>
        <v>67691261</v>
      </c>
      <c r="O16" s="220">
        <f t="shared" si="5"/>
        <v>15540000</v>
      </c>
      <c r="P16" s="220">
        <f t="shared" si="5"/>
        <v>29000000</v>
      </c>
      <c r="Q16" s="219">
        <v>0</v>
      </c>
      <c r="R16" s="223">
        <f t="shared" si="1"/>
        <v>180386704</v>
      </c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18" s="38" customFormat="1" ht="15.75">
      <c r="A17" s="211"/>
      <c r="B17" s="212" t="s">
        <v>161</v>
      </c>
      <c r="C17" s="109" t="s">
        <v>84</v>
      </c>
      <c r="D17" s="109" t="s">
        <v>84</v>
      </c>
      <c r="E17" s="109" t="s">
        <v>84</v>
      </c>
      <c r="F17" s="109"/>
      <c r="G17" s="109"/>
      <c r="H17" s="109"/>
      <c r="I17" s="213">
        <f aca="true" t="shared" si="6" ref="I17:R17">I18+I34+I61</f>
        <v>187387791</v>
      </c>
      <c r="J17" s="214">
        <f t="shared" si="6"/>
        <v>14919818</v>
      </c>
      <c r="K17" s="214">
        <f t="shared" si="6"/>
        <v>-3073061</v>
      </c>
      <c r="L17" s="214">
        <f t="shared" si="6"/>
        <v>11846757</v>
      </c>
      <c r="M17" s="213">
        <f t="shared" si="6"/>
        <v>56308686</v>
      </c>
      <c r="N17" s="213">
        <f t="shared" si="6"/>
        <v>67691261</v>
      </c>
      <c r="O17" s="213">
        <f t="shared" si="6"/>
        <v>15540000</v>
      </c>
      <c r="P17" s="213">
        <f t="shared" si="6"/>
        <v>29000000</v>
      </c>
      <c r="Q17" s="213">
        <f t="shared" si="6"/>
        <v>0</v>
      </c>
      <c r="R17" s="224">
        <f t="shared" si="6"/>
        <v>180386704</v>
      </c>
    </row>
    <row r="18" spans="1:19" s="45" customFormat="1" ht="30.75" customHeight="1">
      <c r="A18" s="512" t="s">
        <v>165</v>
      </c>
      <c r="B18" s="513" t="s">
        <v>166</v>
      </c>
      <c r="C18" s="514" t="s">
        <v>167</v>
      </c>
      <c r="D18" s="498">
        <v>2004</v>
      </c>
      <c r="E18" s="498">
        <v>2013</v>
      </c>
      <c r="F18" s="654" t="s">
        <v>248</v>
      </c>
      <c r="G18" s="654"/>
      <c r="H18" s="654"/>
      <c r="I18" s="515">
        <f>I24+I19+I33+I30+I29+I28+I31</f>
        <v>70567914</v>
      </c>
      <c r="J18" s="515">
        <f>J24+J19+J33+J30+J29+J28+J31</f>
        <v>7968743</v>
      </c>
      <c r="K18" s="515">
        <f>K24+K19+K33+K30+K29+K28+K31+K32</f>
        <v>-2884561</v>
      </c>
      <c r="L18" s="515">
        <f>L24+L19+L33+L30+L29+L28+L31+L32</f>
        <v>5084182</v>
      </c>
      <c r="M18" s="515">
        <f>M24+M19+M33+M30+M29+M28+M31+M32</f>
        <v>25320446</v>
      </c>
      <c r="N18" s="515">
        <f>N24+N19+N33+N30+N29+N28+N31+N32</f>
        <v>35621261</v>
      </c>
      <c r="O18" s="515">
        <f>O24+O19+O33+O30+O29+O28+O31</f>
        <v>0</v>
      </c>
      <c r="P18" s="515">
        <f>P24+P19+P33+P30+P29+P28+P31</f>
        <v>0</v>
      </c>
      <c r="Q18" s="515">
        <f>Q24+Q19+Q33+Q30+Q29+Q28+Q31</f>
        <v>0</v>
      </c>
      <c r="R18" s="515">
        <f>R24+R19+R33+R30+R29+R28+R31+R32</f>
        <v>66025889</v>
      </c>
      <c r="S18" s="455">
        <f>SUM(L17:P17)</f>
        <v>180386704</v>
      </c>
    </row>
    <row r="19" spans="1:18" s="19" customFormat="1" ht="15.75" customHeight="1">
      <c r="A19" s="263" t="s">
        <v>168</v>
      </c>
      <c r="B19" s="655" t="s">
        <v>169</v>
      </c>
      <c r="C19" s="226" t="s">
        <v>170</v>
      </c>
      <c r="D19" s="262">
        <v>2004</v>
      </c>
      <c r="E19" s="262">
        <v>2013</v>
      </c>
      <c r="F19" s="659" t="s">
        <v>171</v>
      </c>
      <c r="G19" s="659"/>
      <c r="H19" s="659"/>
      <c r="I19" s="228">
        <f aca="true" t="shared" si="7" ref="I19:N19">SUM(I20:I22)</f>
        <v>38303951</v>
      </c>
      <c r="J19" s="214">
        <f t="shared" si="7"/>
        <v>4733123</v>
      </c>
      <c r="K19" s="214">
        <f t="shared" si="7"/>
        <v>-788710</v>
      </c>
      <c r="L19" s="214">
        <f t="shared" si="7"/>
        <v>3944413</v>
      </c>
      <c r="M19" s="228">
        <f t="shared" si="7"/>
        <v>15170250</v>
      </c>
      <c r="N19" s="228">
        <f t="shared" si="7"/>
        <v>17366261</v>
      </c>
      <c r="O19" s="335">
        <v>0</v>
      </c>
      <c r="P19" s="227">
        <v>0</v>
      </c>
      <c r="Q19" s="227">
        <v>0</v>
      </c>
      <c r="R19" s="216">
        <f>SUM(L19:P19)</f>
        <v>36480924</v>
      </c>
    </row>
    <row r="20" spans="1:18" s="19" customFormat="1" ht="15" customHeight="1">
      <c r="A20" s="272"/>
      <c r="B20" s="656"/>
      <c r="C20" s="464"/>
      <c r="D20" s="464"/>
      <c r="E20" s="464"/>
      <c r="F20" s="229" t="s">
        <v>172</v>
      </c>
      <c r="G20" s="229" t="s">
        <v>173</v>
      </c>
      <c r="H20" s="229">
        <v>6050</v>
      </c>
      <c r="I20" s="230">
        <v>7798951</v>
      </c>
      <c r="J20" s="231">
        <v>946123</v>
      </c>
      <c r="K20" s="231">
        <v>-788710</v>
      </c>
      <c r="L20" s="231">
        <f>J20+K20</f>
        <v>157413</v>
      </c>
      <c r="M20" s="230">
        <v>5827710</v>
      </c>
      <c r="N20" s="232"/>
      <c r="O20" s="233"/>
      <c r="P20" s="233"/>
      <c r="Q20" s="233"/>
      <c r="R20" s="234">
        <f>SUM(L20:P20)</f>
        <v>5985123</v>
      </c>
    </row>
    <row r="21" spans="1:18" s="19" customFormat="1" ht="15.75" customHeight="1">
      <c r="A21" s="272"/>
      <c r="B21" s="486"/>
      <c r="C21" s="464"/>
      <c r="D21" s="464"/>
      <c r="E21" s="464"/>
      <c r="F21" s="235"/>
      <c r="G21" s="235"/>
      <c r="H21" s="235">
        <v>6058</v>
      </c>
      <c r="I21" s="236">
        <v>21980500</v>
      </c>
      <c r="J21" s="237"/>
      <c r="K21" s="237"/>
      <c r="L21" s="237">
        <f>J21+K21</f>
        <v>0</v>
      </c>
      <c r="M21" s="236">
        <v>7102999</v>
      </c>
      <c r="N21" s="238">
        <v>14877501</v>
      </c>
      <c r="O21" s="239"/>
      <c r="P21" s="239"/>
      <c r="Q21" s="239"/>
      <c r="R21" s="240">
        <f>SUM(L21:P21)</f>
        <v>21980500</v>
      </c>
    </row>
    <row r="22" spans="1:18" s="19" customFormat="1" ht="12.75">
      <c r="A22" s="465"/>
      <c r="B22" s="487"/>
      <c r="C22" s="467"/>
      <c r="D22" s="467"/>
      <c r="E22" s="467"/>
      <c r="F22" s="241"/>
      <c r="G22" s="241"/>
      <c r="H22" s="241">
        <v>6059</v>
      </c>
      <c r="I22" s="242">
        <v>8524500</v>
      </c>
      <c r="J22" s="243">
        <v>3787000</v>
      </c>
      <c r="K22" s="243"/>
      <c r="L22" s="243">
        <f>J22+K22</f>
        <v>3787000</v>
      </c>
      <c r="M22" s="242">
        <v>2239541</v>
      </c>
      <c r="N22" s="244">
        <v>2488760</v>
      </c>
      <c r="O22" s="245"/>
      <c r="P22" s="245"/>
      <c r="Q22" s="245"/>
      <c r="R22" s="246">
        <f>SUM(L22:P22)</f>
        <v>8515301</v>
      </c>
    </row>
    <row r="23" spans="1:18" s="19" customFormat="1" ht="3" customHeight="1">
      <c r="A23" s="225"/>
      <c r="B23" s="488"/>
      <c r="C23" s="226"/>
      <c r="D23" s="248"/>
      <c r="E23" s="248"/>
      <c r="F23" s="249"/>
      <c r="G23" s="250"/>
      <c r="H23" s="251"/>
      <c r="I23" s="61"/>
      <c r="J23" s="252"/>
      <c r="K23" s="252"/>
      <c r="L23" s="252"/>
      <c r="M23" s="61"/>
      <c r="N23" s="228"/>
      <c r="O23" s="335"/>
      <c r="P23" s="227"/>
      <c r="Q23" s="227"/>
      <c r="R23" s="216">
        <f>SUM(J23:P23)</f>
        <v>0</v>
      </c>
    </row>
    <row r="24" spans="1:18" s="19" customFormat="1" ht="14.25" customHeight="1">
      <c r="A24" s="263" t="s">
        <v>174</v>
      </c>
      <c r="B24" s="655" t="s">
        <v>175</v>
      </c>
      <c r="C24" s="461" t="s">
        <v>170</v>
      </c>
      <c r="D24" s="461">
        <v>2004</v>
      </c>
      <c r="E24" s="461">
        <v>2013</v>
      </c>
      <c r="F24" s="657" t="s">
        <v>171</v>
      </c>
      <c r="G24" s="657"/>
      <c r="H24" s="657"/>
      <c r="I24" s="228">
        <f>SUM(I25:I27)</f>
        <v>29671509</v>
      </c>
      <c r="J24" s="214">
        <f>SUM(J25:J27)</f>
        <v>2833620</v>
      </c>
      <c r="K24" s="214">
        <f>SUM(K25:K27)</f>
        <v>-2135305</v>
      </c>
      <c r="L24" s="214">
        <f aca="true" t="shared" si="8" ref="L24:L29">J24+K24</f>
        <v>698315</v>
      </c>
      <c r="M24" s="228">
        <f>SUM(M25:M27)</f>
        <v>7948196</v>
      </c>
      <c r="N24" s="228">
        <f>SUM(N25:N27)</f>
        <v>18255000</v>
      </c>
      <c r="O24" s="335">
        <v>0</v>
      </c>
      <c r="P24" s="227">
        <v>0</v>
      </c>
      <c r="Q24" s="227">
        <v>0</v>
      </c>
      <c r="R24" s="216">
        <f aca="true" t="shared" si="9" ref="R24:R33">SUM(L24:P24)</f>
        <v>26901511</v>
      </c>
    </row>
    <row r="25" spans="1:18" s="19" customFormat="1" ht="15" customHeight="1">
      <c r="A25" s="272"/>
      <c r="B25" s="656"/>
      <c r="C25" s="464"/>
      <c r="D25" s="464"/>
      <c r="E25" s="464"/>
      <c r="F25" s="229" t="s">
        <v>172</v>
      </c>
      <c r="G25" s="229" t="s">
        <v>173</v>
      </c>
      <c r="H25" s="229">
        <v>6050</v>
      </c>
      <c r="I25" s="230">
        <v>5916509</v>
      </c>
      <c r="J25" s="231">
        <v>2181315</v>
      </c>
      <c r="K25" s="231">
        <v>-1483000</v>
      </c>
      <c r="L25" s="253">
        <f t="shared" si="8"/>
        <v>698315</v>
      </c>
      <c r="M25" s="230">
        <v>1948196</v>
      </c>
      <c r="N25" s="232">
        <v>500000</v>
      </c>
      <c r="O25" s="233"/>
      <c r="P25" s="233"/>
      <c r="Q25" s="233"/>
      <c r="R25" s="234">
        <f>SUM(L25:P25)</f>
        <v>3146511</v>
      </c>
    </row>
    <row r="26" spans="1:18" s="19" customFormat="1" ht="15" customHeight="1">
      <c r="A26" s="272"/>
      <c r="B26" s="489"/>
      <c r="C26" s="464"/>
      <c r="D26" s="464"/>
      <c r="E26" s="464"/>
      <c r="F26" s="235"/>
      <c r="G26" s="235"/>
      <c r="H26" s="235">
        <v>6058</v>
      </c>
      <c r="I26" s="236">
        <v>19835000</v>
      </c>
      <c r="J26" s="237">
        <v>0</v>
      </c>
      <c r="K26" s="237"/>
      <c r="L26" s="254">
        <f t="shared" si="8"/>
        <v>0</v>
      </c>
      <c r="M26" s="236">
        <v>3600000</v>
      </c>
      <c r="N26" s="238">
        <v>16235000</v>
      </c>
      <c r="O26" s="239"/>
      <c r="P26" s="239"/>
      <c r="Q26" s="239"/>
      <c r="R26" s="240">
        <f t="shared" si="9"/>
        <v>19835000</v>
      </c>
    </row>
    <row r="27" spans="1:18" s="19" customFormat="1" ht="12.75" customHeight="1">
      <c r="A27" s="465"/>
      <c r="B27" s="487"/>
      <c r="C27" s="468"/>
      <c r="D27" s="468"/>
      <c r="E27" s="467"/>
      <c r="F27" s="241"/>
      <c r="G27" s="241"/>
      <c r="H27" s="241">
        <v>6059</v>
      </c>
      <c r="I27" s="242">
        <v>3920000</v>
      </c>
      <c r="J27" s="243">
        <v>652305</v>
      </c>
      <c r="K27" s="243">
        <v>-652305</v>
      </c>
      <c r="L27" s="255">
        <f t="shared" si="8"/>
        <v>0</v>
      </c>
      <c r="M27" s="242">
        <v>2400000</v>
      </c>
      <c r="N27" s="244">
        <v>1520000</v>
      </c>
      <c r="O27" s="245"/>
      <c r="P27" s="245"/>
      <c r="Q27" s="245"/>
      <c r="R27" s="246">
        <f t="shared" si="9"/>
        <v>3920000</v>
      </c>
    </row>
    <row r="28" spans="1:18" s="19" customFormat="1" ht="39.75" customHeight="1">
      <c r="A28" s="465" t="s">
        <v>255</v>
      </c>
      <c r="B28" s="490" t="s">
        <v>272</v>
      </c>
      <c r="C28" s="499" t="s">
        <v>170</v>
      </c>
      <c r="D28" s="467">
        <v>2011</v>
      </c>
      <c r="E28" s="467">
        <v>2012</v>
      </c>
      <c r="F28" s="502" t="s">
        <v>172</v>
      </c>
      <c r="G28" s="502" t="s">
        <v>173</v>
      </c>
      <c r="H28" s="467">
        <v>6050</v>
      </c>
      <c r="I28" s="482">
        <f>L28+M28</f>
        <v>140000</v>
      </c>
      <c r="J28" s="483"/>
      <c r="K28" s="483">
        <v>4000</v>
      </c>
      <c r="L28" s="255">
        <f t="shared" si="8"/>
        <v>4000</v>
      </c>
      <c r="M28" s="482">
        <v>136000</v>
      </c>
      <c r="N28" s="484"/>
      <c r="O28" s="485"/>
      <c r="P28" s="485"/>
      <c r="Q28" s="485"/>
      <c r="R28" s="246">
        <f t="shared" si="9"/>
        <v>140000</v>
      </c>
    </row>
    <row r="29" spans="1:18" s="19" customFormat="1" ht="51.75" customHeight="1">
      <c r="A29" s="465" t="s">
        <v>256</v>
      </c>
      <c r="B29" s="490" t="s">
        <v>273</v>
      </c>
      <c r="C29" s="499" t="s">
        <v>170</v>
      </c>
      <c r="D29" s="467">
        <v>2011</v>
      </c>
      <c r="E29" s="467">
        <v>2012</v>
      </c>
      <c r="F29" s="502" t="s">
        <v>172</v>
      </c>
      <c r="G29" s="502" t="s">
        <v>173</v>
      </c>
      <c r="H29" s="467">
        <v>6050</v>
      </c>
      <c r="I29" s="482">
        <f>R29</f>
        <v>272000</v>
      </c>
      <c r="J29" s="483"/>
      <c r="K29" s="483">
        <v>4000</v>
      </c>
      <c r="L29" s="255">
        <f t="shared" si="8"/>
        <v>4000</v>
      </c>
      <c r="M29" s="482">
        <v>268000</v>
      </c>
      <c r="N29" s="484"/>
      <c r="O29" s="485"/>
      <c r="P29" s="485"/>
      <c r="Q29" s="485"/>
      <c r="R29" s="246">
        <f t="shared" si="9"/>
        <v>272000</v>
      </c>
    </row>
    <row r="30" spans="1:18" s="19" customFormat="1" ht="27.75" customHeight="1">
      <c r="A30" s="465" t="s">
        <v>270</v>
      </c>
      <c r="B30" s="491" t="s">
        <v>257</v>
      </c>
      <c r="C30" s="499" t="s">
        <v>170</v>
      </c>
      <c r="D30" s="467">
        <v>2011</v>
      </c>
      <c r="E30" s="467">
        <v>2012</v>
      </c>
      <c r="F30" s="467">
        <v>900</v>
      </c>
      <c r="G30" s="467">
        <v>90001</v>
      </c>
      <c r="H30" s="467">
        <v>6050</v>
      </c>
      <c r="I30" s="482">
        <f>R30</f>
        <v>100000</v>
      </c>
      <c r="J30" s="483">
        <v>2000</v>
      </c>
      <c r="K30" s="483"/>
      <c r="L30" s="255">
        <f>J30+K30</f>
        <v>2000</v>
      </c>
      <c r="M30" s="482">
        <v>98000</v>
      </c>
      <c r="N30" s="484"/>
      <c r="O30" s="485"/>
      <c r="P30" s="485"/>
      <c r="Q30" s="485"/>
      <c r="R30" s="246">
        <f>SUM(L30:P30)</f>
        <v>100000</v>
      </c>
    </row>
    <row r="31" spans="1:18" s="19" customFormat="1" ht="23.25" customHeight="1">
      <c r="A31" s="465" t="s">
        <v>271</v>
      </c>
      <c r="B31" s="490" t="s">
        <v>200</v>
      </c>
      <c r="C31" s="528" t="s">
        <v>170</v>
      </c>
      <c r="D31" s="467">
        <v>2011</v>
      </c>
      <c r="E31" s="467">
        <v>2012</v>
      </c>
      <c r="F31" s="467">
        <v>900</v>
      </c>
      <c r="G31" s="467">
        <v>90001</v>
      </c>
      <c r="H31" s="467">
        <v>6050</v>
      </c>
      <c r="I31" s="482">
        <f>R31</f>
        <v>2029454</v>
      </c>
      <c r="J31" s="483">
        <v>400000</v>
      </c>
      <c r="K31" s="483">
        <v>29454</v>
      </c>
      <c r="L31" s="255">
        <f>J31+K31</f>
        <v>429454</v>
      </c>
      <c r="M31" s="482">
        <v>1600000</v>
      </c>
      <c r="N31" s="484"/>
      <c r="O31" s="485"/>
      <c r="P31" s="485"/>
      <c r="Q31" s="485"/>
      <c r="R31" s="246">
        <f>SUM(L31:P31)</f>
        <v>2029454</v>
      </c>
    </row>
    <row r="32" spans="1:18" s="19" customFormat="1" ht="24">
      <c r="A32" s="465" t="s">
        <v>290</v>
      </c>
      <c r="B32" s="491" t="s">
        <v>299</v>
      </c>
      <c r="C32" s="559" t="s">
        <v>170</v>
      </c>
      <c r="D32" s="467">
        <v>2011</v>
      </c>
      <c r="E32" s="467">
        <v>2012</v>
      </c>
      <c r="F32" s="467">
        <v>900</v>
      </c>
      <c r="G32" s="467">
        <v>90001</v>
      </c>
      <c r="H32" s="467">
        <v>6050</v>
      </c>
      <c r="I32" s="482">
        <v>51000</v>
      </c>
      <c r="J32" s="483"/>
      <c r="K32" s="483">
        <v>1000</v>
      </c>
      <c r="L32" s="255">
        <f>J32+K32</f>
        <v>1000</v>
      </c>
      <c r="M32" s="482">
        <v>50000</v>
      </c>
      <c r="N32" s="484"/>
      <c r="O32" s="485"/>
      <c r="P32" s="485"/>
      <c r="Q32" s="485"/>
      <c r="R32" s="246">
        <f>SUM(L32:P32)</f>
        <v>51000</v>
      </c>
    </row>
    <row r="33" spans="1:18" s="19" customFormat="1" ht="23.25" customHeight="1">
      <c r="A33" s="465" t="s">
        <v>300</v>
      </c>
      <c r="B33" s="490" t="s">
        <v>289</v>
      </c>
      <c r="C33" s="492" t="s">
        <v>170</v>
      </c>
      <c r="D33" s="467">
        <v>2011</v>
      </c>
      <c r="E33" s="467">
        <v>2012</v>
      </c>
      <c r="F33" s="467">
        <v>900</v>
      </c>
      <c r="G33" s="467">
        <v>90001</v>
      </c>
      <c r="H33" s="467">
        <v>6050</v>
      </c>
      <c r="I33" s="482">
        <v>51000</v>
      </c>
      <c r="J33" s="483"/>
      <c r="K33" s="483">
        <v>1000</v>
      </c>
      <c r="L33" s="255">
        <f>J33+K33</f>
        <v>1000</v>
      </c>
      <c r="M33" s="482">
        <v>50000</v>
      </c>
      <c r="N33" s="484"/>
      <c r="O33" s="485"/>
      <c r="P33" s="485"/>
      <c r="Q33" s="485"/>
      <c r="R33" s="246">
        <f t="shared" si="9"/>
        <v>51000</v>
      </c>
    </row>
    <row r="34" spans="1:20" s="40" customFormat="1" ht="21" customHeight="1">
      <c r="A34" s="510" t="s">
        <v>176</v>
      </c>
      <c r="B34" s="511" t="s">
        <v>177</v>
      </c>
      <c r="C34" s="457" t="s">
        <v>167</v>
      </c>
      <c r="D34" s="457">
        <v>2009</v>
      </c>
      <c r="E34" s="457">
        <v>2014</v>
      </c>
      <c r="F34" s="654" t="s">
        <v>248</v>
      </c>
      <c r="G34" s="654"/>
      <c r="H34" s="654"/>
      <c r="I34" s="256">
        <f aca="true" t="shared" si="10" ref="I34:R34">SUM(I35+I36+I39+I40+I46+I47+I48+I51+I54+I58)</f>
        <v>13530140</v>
      </c>
      <c r="J34" s="256">
        <f t="shared" si="10"/>
        <v>319560</v>
      </c>
      <c r="K34" s="256">
        <f t="shared" si="10"/>
        <v>-88500</v>
      </c>
      <c r="L34" s="256">
        <f t="shared" si="10"/>
        <v>231060</v>
      </c>
      <c r="M34" s="256">
        <f t="shared" si="10"/>
        <v>3001240</v>
      </c>
      <c r="N34" s="256">
        <f t="shared" si="10"/>
        <v>6070000</v>
      </c>
      <c r="O34" s="256">
        <f>SUM(O35+O36+O39+O40+O46+O47+O48+O51+O54+O58)</f>
        <v>4140000</v>
      </c>
      <c r="P34" s="256">
        <f t="shared" si="10"/>
        <v>0</v>
      </c>
      <c r="Q34" s="256">
        <f t="shared" si="10"/>
        <v>0</v>
      </c>
      <c r="R34" s="256">
        <f t="shared" si="10"/>
        <v>13442300</v>
      </c>
      <c r="S34" s="46">
        <f>O34+N34+M34+L34</f>
        <v>13442300</v>
      </c>
      <c r="T34" s="46">
        <f>S34-R34</f>
        <v>0</v>
      </c>
    </row>
    <row r="35" spans="1:20" s="40" customFormat="1" ht="38.25" customHeight="1">
      <c r="A35" s="225" t="s">
        <v>178</v>
      </c>
      <c r="B35" s="295" t="s">
        <v>202</v>
      </c>
      <c r="C35" s="499" t="s">
        <v>180</v>
      </c>
      <c r="D35" s="499">
        <v>2011</v>
      </c>
      <c r="E35" s="499">
        <v>2013</v>
      </c>
      <c r="F35" s="499">
        <v>700</v>
      </c>
      <c r="G35" s="499">
        <v>70005</v>
      </c>
      <c r="H35" s="499">
        <v>6050</v>
      </c>
      <c r="I35" s="61">
        <v>2543000</v>
      </c>
      <c r="J35" s="252">
        <v>98000</v>
      </c>
      <c r="K35" s="252">
        <v>-97000</v>
      </c>
      <c r="L35" s="252">
        <f>J35+K35</f>
        <v>1000</v>
      </c>
      <c r="M35" s="61">
        <v>97000</v>
      </c>
      <c r="N35" s="61">
        <v>445000</v>
      </c>
      <c r="O35" s="228">
        <v>2000000</v>
      </c>
      <c r="P35" s="500">
        <v>0</v>
      </c>
      <c r="Q35" s="500">
        <v>0</v>
      </c>
      <c r="R35" s="216">
        <f>SUM(L35:P35)</f>
        <v>2543000</v>
      </c>
      <c r="S35" s="46"/>
      <c r="T35" s="46"/>
    </row>
    <row r="36" spans="1:20" s="40" customFormat="1" ht="15" customHeight="1">
      <c r="A36" s="263" t="s">
        <v>181</v>
      </c>
      <c r="B36" s="650" t="s">
        <v>242</v>
      </c>
      <c r="C36" s="458" t="s">
        <v>180</v>
      </c>
      <c r="D36" s="458">
        <v>2010</v>
      </c>
      <c r="E36" s="458">
        <v>2012</v>
      </c>
      <c r="F36" s="649" t="s">
        <v>171</v>
      </c>
      <c r="G36" s="649"/>
      <c r="H36" s="649"/>
      <c r="I36" s="257">
        <f aca="true" t="shared" si="11" ref="I36:N36">SUM(I37:I38)</f>
        <v>1370070</v>
      </c>
      <c r="J36" s="252">
        <f t="shared" si="11"/>
        <v>65190</v>
      </c>
      <c r="K36" s="252">
        <f t="shared" si="11"/>
        <v>0</v>
      </c>
      <c r="L36" s="252">
        <f t="shared" si="11"/>
        <v>65190</v>
      </c>
      <c r="M36" s="257">
        <f t="shared" si="11"/>
        <v>1300000</v>
      </c>
      <c r="N36" s="257">
        <f t="shared" si="11"/>
        <v>0</v>
      </c>
      <c r="O36" s="258">
        <v>0</v>
      </c>
      <c r="P36" s="258">
        <v>0</v>
      </c>
      <c r="Q36" s="258">
        <v>0</v>
      </c>
      <c r="R36" s="259">
        <f aca="true" t="shared" si="12" ref="R36:R54">SUM(L36:P36)</f>
        <v>1365190</v>
      </c>
      <c r="S36" s="46">
        <f>R37+R38</f>
        <v>1365190</v>
      </c>
      <c r="T36" s="46">
        <f>L34+M34+N34+O34+P34</f>
        <v>13442300</v>
      </c>
    </row>
    <row r="37" spans="1:19" s="40" customFormat="1" ht="15" customHeight="1">
      <c r="A37" s="272"/>
      <c r="B37" s="651"/>
      <c r="C37" s="226"/>
      <c r="D37" s="226"/>
      <c r="E37" s="226"/>
      <c r="F37" s="229">
        <v>852</v>
      </c>
      <c r="G37" s="229">
        <v>85219</v>
      </c>
      <c r="H37" s="229">
        <v>6058</v>
      </c>
      <c r="I37" s="230">
        <f>SUM(L37:N37)</f>
        <v>500000</v>
      </c>
      <c r="J37" s="231"/>
      <c r="K37" s="231"/>
      <c r="L37" s="253">
        <f>J37+K37</f>
        <v>0</v>
      </c>
      <c r="M37" s="230">
        <v>500000</v>
      </c>
      <c r="N37" s="233"/>
      <c r="O37" s="233"/>
      <c r="P37" s="233"/>
      <c r="Q37" s="233"/>
      <c r="R37" s="234">
        <f t="shared" si="12"/>
        <v>500000</v>
      </c>
      <c r="S37" s="46"/>
    </row>
    <row r="38" spans="1:19" s="40" customFormat="1" ht="15" customHeight="1">
      <c r="A38" s="465"/>
      <c r="B38" s="466"/>
      <c r="C38" s="467"/>
      <c r="D38" s="467"/>
      <c r="E38" s="467"/>
      <c r="F38" s="241"/>
      <c r="G38" s="241"/>
      <c r="H38" s="241">
        <v>6059</v>
      </c>
      <c r="I38" s="242">
        <f>L38+M38+4880</f>
        <v>870070</v>
      </c>
      <c r="J38" s="243">
        <v>65190</v>
      </c>
      <c r="K38" s="243"/>
      <c r="L38" s="255">
        <f>J38+K38</f>
        <v>65190</v>
      </c>
      <c r="M38" s="242">
        <v>800000</v>
      </c>
      <c r="N38" s="245"/>
      <c r="O38" s="245"/>
      <c r="P38" s="245"/>
      <c r="Q38" s="245"/>
      <c r="R38" s="246">
        <f t="shared" si="12"/>
        <v>865190</v>
      </c>
      <c r="S38" s="46"/>
    </row>
    <row r="39" spans="1:19" s="40" customFormat="1" ht="24.75" customHeight="1">
      <c r="A39" s="225" t="s">
        <v>183</v>
      </c>
      <c r="B39" s="491" t="s">
        <v>274</v>
      </c>
      <c r="C39" s="499" t="s">
        <v>180</v>
      </c>
      <c r="D39" s="499">
        <v>2011</v>
      </c>
      <c r="E39" s="499">
        <v>2012</v>
      </c>
      <c r="F39" s="499">
        <v>900</v>
      </c>
      <c r="G39" s="499">
        <v>90015</v>
      </c>
      <c r="H39" s="499">
        <v>6050</v>
      </c>
      <c r="I39" s="61">
        <f>L39+M39</f>
        <v>73500</v>
      </c>
      <c r="J39" s="252"/>
      <c r="K39" s="252">
        <v>8500</v>
      </c>
      <c r="L39" s="252">
        <f>J39+K39</f>
        <v>8500</v>
      </c>
      <c r="M39" s="61">
        <v>65000</v>
      </c>
      <c r="N39" s="228"/>
      <c r="O39" s="500">
        <v>0</v>
      </c>
      <c r="P39" s="500">
        <v>0</v>
      </c>
      <c r="Q39" s="500">
        <v>0</v>
      </c>
      <c r="R39" s="216">
        <f>SUM(L39:P39)</f>
        <v>73500</v>
      </c>
      <c r="S39" s="46"/>
    </row>
    <row r="40" spans="1:19" s="40" customFormat="1" ht="39.75" customHeight="1">
      <c r="A40" s="263" t="s">
        <v>185</v>
      </c>
      <c r="B40" s="529" t="s">
        <v>262</v>
      </c>
      <c r="C40" s="226" t="s">
        <v>180</v>
      </c>
      <c r="D40" s="226">
        <v>2011</v>
      </c>
      <c r="E40" s="226">
        <v>2012</v>
      </c>
      <c r="F40" s="226">
        <v>900</v>
      </c>
      <c r="G40" s="226">
        <v>90015</v>
      </c>
      <c r="H40" s="226">
        <v>6050</v>
      </c>
      <c r="I40" s="260">
        <v>10000</v>
      </c>
      <c r="J40" s="261">
        <v>1000</v>
      </c>
      <c r="K40" s="261"/>
      <c r="L40" s="261">
        <f>J40+K40</f>
        <v>1000</v>
      </c>
      <c r="M40" s="260">
        <v>9000</v>
      </c>
      <c r="N40" s="477"/>
      <c r="O40" s="262">
        <v>0</v>
      </c>
      <c r="P40" s="262">
        <v>0</v>
      </c>
      <c r="Q40" s="262">
        <v>0</v>
      </c>
      <c r="R40" s="478">
        <f>SUM(L40:P40)</f>
        <v>10000</v>
      </c>
      <c r="S40" s="46"/>
    </row>
    <row r="41" spans="1:19" s="40" customFormat="1" ht="9.75" customHeight="1">
      <c r="A41" s="530"/>
      <c r="B41" s="531"/>
      <c r="C41" s="532"/>
      <c r="D41" s="532"/>
      <c r="E41" s="532"/>
      <c r="F41" s="532"/>
      <c r="G41" s="532"/>
      <c r="H41" s="532"/>
      <c r="I41" s="533"/>
      <c r="J41" s="533"/>
      <c r="K41" s="533"/>
      <c r="L41" s="533"/>
      <c r="M41" s="533"/>
      <c r="N41" s="534"/>
      <c r="O41" s="535"/>
      <c r="P41" s="535"/>
      <c r="Q41" s="535"/>
      <c r="R41" s="536"/>
      <c r="S41" s="46"/>
    </row>
    <row r="42" spans="1:19" s="40" customFormat="1" ht="6.75" customHeight="1" thickBot="1">
      <c r="A42" s="552"/>
      <c r="B42" s="553"/>
      <c r="C42" s="554"/>
      <c r="D42" s="554"/>
      <c r="E42" s="554"/>
      <c r="F42" s="554"/>
      <c r="G42" s="554"/>
      <c r="H42" s="554"/>
      <c r="I42" s="555"/>
      <c r="J42" s="555"/>
      <c r="K42" s="555"/>
      <c r="L42" s="555"/>
      <c r="M42" s="555"/>
      <c r="N42" s="556"/>
      <c r="O42" s="557"/>
      <c r="P42" s="557"/>
      <c r="Q42" s="557"/>
      <c r="R42" s="558"/>
      <c r="S42" s="46"/>
    </row>
    <row r="43" spans="1:19" s="40" customFormat="1" ht="18" customHeight="1">
      <c r="A43" s="635" t="s">
        <v>115</v>
      </c>
      <c r="B43" s="638" t="s">
        <v>148</v>
      </c>
      <c r="C43" s="641" t="s">
        <v>149</v>
      </c>
      <c r="D43" s="644" t="s">
        <v>243</v>
      </c>
      <c r="E43" s="644"/>
      <c r="F43" s="644" t="s">
        <v>150</v>
      </c>
      <c r="G43" s="644"/>
      <c r="H43" s="644"/>
      <c r="I43" s="627" t="s">
        <v>151</v>
      </c>
      <c r="J43" s="627" t="s">
        <v>152</v>
      </c>
      <c r="K43" s="627"/>
      <c r="L43" s="627"/>
      <c r="M43" s="627"/>
      <c r="N43" s="627"/>
      <c r="O43" s="627"/>
      <c r="P43" s="627"/>
      <c r="Q43" s="627"/>
      <c r="R43" s="628" t="s">
        <v>153</v>
      </c>
      <c r="S43" s="46"/>
    </row>
    <row r="44" spans="1:19" s="40" customFormat="1" ht="14.25" customHeight="1">
      <c r="A44" s="636"/>
      <c r="B44" s="639"/>
      <c r="C44" s="642"/>
      <c r="D44" s="645"/>
      <c r="E44" s="645"/>
      <c r="F44" s="645"/>
      <c r="G44" s="645"/>
      <c r="H44" s="645"/>
      <c r="I44" s="646"/>
      <c r="J44" s="631">
        <v>2011</v>
      </c>
      <c r="K44" s="631"/>
      <c r="L44" s="632"/>
      <c r="M44" s="633">
        <v>2012</v>
      </c>
      <c r="N44" s="633">
        <v>2013</v>
      </c>
      <c r="O44" s="633">
        <v>2014</v>
      </c>
      <c r="P44" s="633">
        <v>2015</v>
      </c>
      <c r="Q44" s="501">
        <v>2015</v>
      </c>
      <c r="R44" s="629"/>
      <c r="S44" s="46"/>
    </row>
    <row r="45" spans="1:19" s="40" customFormat="1" ht="20.25" customHeight="1" thickBot="1">
      <c r="A45" s="637"/>
      <c r="B45" s="640"/>
      <c r="C45" s="643"/>
      <c r="D45" s="473" t="s">
        <v>154</v>
      </c>
      <c r="E45" s="473" t="s">
        <v>155</v>
      </c>
      <c r="F45" s="473" t="s">
        <v>156</v>
      </c>
      <c r="G45" s="473" t="s">
        <v>157</v>
      </c>
      <c r="H45" s="473" t="s">
        <v>158</v>
      </c>
      <c r="I45" s="647"/>
      <c r="J45" s="474" t="s">
        <v>212</v>
      </c>
      <c r="K45" s="474" t="s">
        <v>213</v>
      </c>
      <c r="L45" s="474" t="s">
        <v>214</v>
      </c>
      <c r="M45" s="634"/>
      <c r="N45" s="634"/>
      <c r="O45" s="634"/>
      <c r="P45" s="634"/>
      <c r="Q45" s="473"/>
      <c r="R45" s="630"/>
      <c r="S45" s="46"/>
    </row>
    <row r="46" spans="1:19" s="40" customFormat="1" ht="33" customHeight="1">
      <c r="A46" s="225" t="s">
        <v>244</v>
      </c>
      <c r="B46" s="295" t="s">
        <v>245</v>
      </c>
      <c r="C46" s="499" t="s">
        <v>180</v>
      </c>
      <c r="D46" s="499">
        <v>2011</v>
      </c>
      <c r="E46" s="499">
        <v>2012</v>
      </c>
      <c r="F46" s="499">
        <v>900</v>
      </c>
      <c r="G46" s="499">
        <v>90015</v>
      </c>
      <c r="H46" s="499">
        <v>6050</v>
      </c>
      <c r="I46" s="61">
        <v>15000</v>
      </c>
      <c r="J46" s="252">
        <v>5000</v>
      </c>
      <c r="K46" s="252"/>
      <c r="L46" s="252">
        <f>J46+K46</f>
        <v>5000</v>
      </c>
      <c r="M46" s="61">
        <v>10000</v>
      </c>
      <c r="N46" s="228"/>
      <c r="O46" s="500">
        <v>0</v>
      </c>
      <c r="P46" s="500">
        <v>0</v>
      </c>
      <c r="Q46" s="500">
        <v>0</v>
      </c>
      <c r="R46" s="216">
        <f>SUM(L46:P46)</f>
        <v>15000</v>
      </c>
      <c r="S46" s="46"/>
    </row>
    <row r="47" spans="1:19" s="40" customFormat="1" ht="40.5" customHeight="1">
      <c r="A47" s="225" t="s">
        <v>246</v>
      </c>
      <c r="B47" s="494" t="s">
        <v>261</v>
      </c>
      <c r="C47" s="499" t="s">
        <v>180</v>
      </c>
      <c r="D47" s="499">
        <v>2011</v>
      </c>
      <c r="E47" s="499">
        <v>2012</v>
      </c>
      <c r="F47" s="499">
        <v>900</v>
      </c>
      <c r="G47" s="499">
        <v>90015</v>
      </c>
      <c r="H47" s="499">
        <v>6050</v>
      </c>
      <c r="I47" s="61">
        <v>6000</v>
      </c>
      <c r="J47" s="252">
        <v>1000</v>
      </c>
      <c r="K47" s="252"/>
      <c r="L47" s="252">
        <f>J47+K47</f>
        <v>1000</v>
      </c>
      <c r="M47" s="61">
        <v>5000</v>
      </c>
      <c r="N47" s="228"/>
      <c r="O47" s="500">
        <v>0</v>
      </c>
      <c r="P47" s="500">
        <v>0</v>
      </c>
      <c r="Q47" s="500">
        <v>0</v>
      </c>
      <c r="R47" s="216">
        <f>SUM(L47:P47)</f>
        <v>6000</v>
      </c>
      <c r="S47" s="46"/>
    </row>
    <row r="48" spans="1:19" s="19" customFormat="1" ht="12.75" customHeight="1">
      <c r="A48" s="263" t="s">
        <v>247</v>
      </c>
      <c r="B48" s="650" t="s">
        <v>179</v>
      </c>
      <c r="C48" s="462" t="s">
        <v>180</v>
      </c>
      <c r="D48" s="462">
        <v>2010</v>
      </c>
      <c r="E48" s="462">
        <v>2014</v>
      </c>
      <c r="F48" s="649" t="s">
        <v>171</v>
      </c>
      <c r="G48" s="649"/>
      <c r="H48" s="649"/>
      <c r="I48" s="257">
        <f aca="true" t="shared" si="13" ref="I48:O48">SUM(I49:I50)</f>
        <v>1500000</v>
      </c>
      <c r="J48" s="252">
        <f t="shared" si="13"/>
        <v>75000</v>
      </c>
      <c r="K48" s="252">
        <f t="shared" si="13"/>
        <v>0</v>
      </c>
      <c r="L48" s="252">
        <f t="shared" si="13"/>
        <v>75000</v>
      </c>
      <c r="M48" s="257">
        <f t="shared" si="13"/>
        <v>145120</v>
      </c>
      <c r="N48" s="257">
        <f t="shared" si="13"/>
        <v>1075000</v>
      </c>
      <c r="O48" s="257">
        <f t="shared" si="13"/>
        <v>200000</v>
      </c>
      <c r="P48" s="258">
        <v>0</v>
      </c>
      <c r="Q48" s="258">
        <v>0</v>
      </c>
      <c r="R48" s="259">
        <f t="shared" si="12"/>
        <v>1495120</v>
      </c>
      <c r="S48" s="30">
        <f>R49+R50</f>
        <v>1495120</v>
      </c>
    </row>
    <row r="49" spans="1:18" s="19" customFormat="1" ht="12.75">
      <c r="A49" s="272"/>
      <c r="B49" s="653"/>
      <c r="C49" s="464"/>
      <c r="D49" s="464"/>
      <c r="E49" s="464"/>
      <c r="F49" s="229">
        <v>921</v>
      </c>
      <c r="G49" s="229">
        <v>92109</v>
      </c>
      <c r="H49" s="229">
        <v>6058</v>
      </c>
      <c r="I49" s="230">
        <f>SUM(L49:N49)</f>
        <v>500000</v>
      </c>
      <c r="J49" s="231"/>
      <c r="K49" s="231"/>
      <c r="L49" s="253">
        <f aca="true" t="shared" si="14" ref="L49:L60">J49+K49</f>
        <v>0</v>
      </c>
      <c r="M49" s="230"/>
      <c r="N49" s="233">
        <v>500000</v>
      </c>
      <c r="O49" s="233"/>
      <c r="P49" s="233"/>
      <c r="Q49" s="233"/>
      <c r="R49" s="234">
        <f t="shared" si="12"/>
        <v>500000</v>
      </c>
    </row>
    <row r="50" spans="1:18" s="19" customFormat="1" ht="12.75">
      <c r="A50" s="465"/>
      <c r="B50" s="466"/>
      <c r="C50" s="467"/>
      <c r="D50" s="467"/>
      <c r="E50" s="467"/>
      <c r="F50" s="241"/>
      <c r="G50" s="241"/>
      <c r="H50" s="241">
        <v>6059</v>
      </c>
      <c r="I50" s="242">
        <f>SUM(L50:O50)+4880</f>
        <v>1000000</v>
      </c>
      <c r="J50" s="243">
        <v>75000</v>
      </c>
      <c r="K50" s="243"/>
      <c r="L50" s="255">
        <f t="shared" si="14"/>
        <v>75000</v>
      </c>
      <c r="M50" s="242">
        <v>145120</v>
      </c>
      <c r="N50" s="245">
        <v>575000</v>
      </c>
      <c r="O50" s="244">
        <v>200000</v>
      </c>
      <c r="P50" s="245"/>
      <c r="Q50" s="245"/>
      <c r="R50" s="246">
        <f>SUM(L50:P50)</f>
        <v>995120</v>
      </c>
    </row>
    <row r="51" spans="1:19" s="19" customFormat="1" ht="14.25" customHeight="1">
      <c r="A51" s="263" t="s">
        <v>259</v>
      </c>
      <c r="B51" s="247" t="s">
        <v>182</v>
      </c>
      <c r="C51" s="462" t="s">
        <v>180</v>
      </c>
      <c r="D51" s="462">
        <v>2010</v>
      </c>
      <c r="E51" s="462">
        <v>2014</v>
      </c>
      <c r="F51" s="649" t="s">
        <v>171</v>
      </c>
      <c r="G51" s="649"/>
      <c r="H51" s="649"/>
      <c r="I51" s="257">
        <f>I53+I52</f>
        <v>3170000</v>
      </c>
      <c r="J51" s="252">
        <f aca="true" t="shared" si="15" ref="J51:O51">SUM(J52:J53)</f>
        <v>5000</v>
      </c>
      <c r="K51" s="252">
        <f t="shared" si="15"/>
        <v>0</v>
      </c>
      <c r="L51" s="252">
        <f t="shared" si="15"/>
        <v>5000</v>
      </c>
      <c r="M51" s="257">
        <f t="shared" si="15"/>
        <v>420120</v>
      </c>
      <c r="N51" s="257">
        <f t="shared" si="15"/>
        <v>1300000</v>
      </c>
      <c r="O51" s="257">
        <f t="shared" si="15"/>
        <v>1440000</v>
      </c>
      <c r="P51" s="258">
        <v>0</v>
      </c>
      <c r="Q51" s="258">
        <v>0</v>
      </c>
      <c r="R51" s="259">
        <f t="shared" si="12"/>
        <v>3165120</v>
      </c>
      <c r="S51" s="30">
        <f>R52+R53</f>
        <v>3165120</v>
      </c>
    </row>
    <row r="52" spans="1:18" s="19" customFormat="1" ht="12.75" customHeight="1">
      <c r="A52" s="272"/>
      <c r="B52" s="463"/>
      <c r="C52" s="464"/>
      <c r="D52" s="464"/>
      <c r="E52" s="464"/>
      <c r="F52" s="229">
        <v>921</v>
      </c>
      <c r="G52" s="229">
        <v>92109</v>
      </c>
      <c r="H52" s="229">
        <v>6058</v>
      </c>
      <c r="I52" s="230">
        <f>SUM(L52:N52)</f>
        <v>500000</v>
      </c>
      <c r="J52" s="231"/>
      <c r="K52" s="231"/>
      <c r="L52" s="253">
        <f t="shared" si="14"/>
        <v>0</v>
      </c>
      <c r="M52" s="230">
        <v>0</v>
      </c>
      <c r="N52" s="232">
        <v>500000</v>
      </c>
      <c r="O52" s="233"/>
      <c r="P52" s="233"/>
      <c r="Q52" s="233"/>
      <c r="R52" s="234">
        <f t="shared" si="12"/>
        <v>500000</v>
      </c>
    </row>
    <row r="53" spans="1:18" s="19" customFormat="1" ht="12.75" customHeight="1">
      <c r="A53" s="465"/>
      <c r="B53" s="466"/>
      <c r="C53" s="467"/>
      <c r="D53" s="467"/>
      <c r="E53" s="467"/>
      <c r="F53" s="241"/>
      <c r="G53" s="241"/>
      <c r="H53" s="241">
        <v>6059</v>
      </c>
      <c r="I53" s="242">
        <f>SUM(L53:O53)+4880</f>
        <v>2670000</v>
      </c>
      <c r="J53" s="243">
        <v>5000</v>
      </c>
      <c r="K53" s="243"/>
      <c r="L53" s="255">
        <f t="shared" si="14"/>
        <v>5000</v>
      </c>
      <c r="M53" s="242">
        <v>420120</v>
      </c>
      <c r="N53" s="244">
        <v>800000</v>
      </c>
      <c r="O53" s="244">
        <v>1440000</v>
      </c>
      <c r="P53" s="245"/>
      <c r="Q53" s="245"/>
      <c r="R53" s="246">
        <f t="shared" si="12"/>
        <v>2665120</v>
      </c>
    </row>
    <row r="54" spans="1:19" s="19" customFormat="1" ht="15" customHeight="1">
      <c r="A54" s="263" t="s">
        <v>260</v>
      </c>
      <c r="B54" s="650" t="s">
        <v>184</v>
      </c>
      <c r="C54" s="462" t="s">
        <v>180</v>
      </c>
      <c r="D54" s="462">
        <v>2009</v>
      </c>
      <c r="E54" s="462">
        <v>2014</v>
      </c>
      <c r="F54" s="649" t="s">
        <v>171</v>
      </c>
      <c r="G54" s="649"/>
      <c r="H54" s="649"/>
      <c r="I54" s="257">
        <f>SUM(I55:I57)</f>
        <v>2933220</v>
      </c>
      <c r="J54" s="252">
        <f>SUM(J56:J57)</f>
        <v>64900</v>
      </c>
      <c r="K54" s="252">
        <f>SUM(K56:K57)</f>
        <v>0</v>
      </c>
      <c r="L54" s="214">
        <f t="shared" si="14"/>
        <v>64900</v>
      </c>
      <c r="M54" s="257">
        <f>SUM(M56:M57)</f>
        <v>800000</v>
      </c>
      <c r="N54" s="257">
        <f>SUM(N56:N57)</f>
        <v>1750000</v>
      </c>
      <c r="O54" s="257">
        <f>SUM(O56:O57)</f>
        <v>250000</v>
      </c>
      <c r="P54" s="258">
        <v>0</v>
      </c>
      <c r="Q54" s="258">
        <v>0</v>
      </c>
      <c r="R54" s="259">
        <f t="shared" si="12"/>
        <v>2864900</v>
      </c>
      <c r="S54" s="30">
        <f>R56+R57</f>
        <v>2864900</v>
      </c>
    </row>
    <row r="55" spans="1:18" s="19" customFormat="1" ht="15" customHeight="1">
      <c r="A55" s="272"/>
      <c r="B55" s="651"/>
      <c r="C55" s="464"/>
      <c r="D55" s="464"/>
      <c r="E55" s="464"/>
      <c r="F55" s="282">
        <v>921</v>
      </c>
      <c r="G55" s="282">
        <v>92109</v>
      </c>
      <c r="H55" s="469">
        <v>6050</v>
      </c>
      <c r="I55" s="260">
        <v>68320</v>
      </c>
      <c r="J55" s="261"/>
      <c r="K55" s="261"/>
      <c r="L55" s="214">
        <f t="shared" si="14"/>
        <v>0</v>
      </c>
      <c r="M55" s="260"/>
      <c r="N55" s="260"/>
      <c r="O55" s="262"/>
      <c r="P55" s="262"/>
      <c r="Q55" s="262"/>
      <c r="R55" s="216"/>
    </row>
    <row r="56" spans="1:18" s="19" customFormat="1" ht="12.75">
      <c r="A56" s="272"/>
      <c r="B56" s="651"/>
      <c r="C56" s="464"/>
      <c r="D56" s="464"/>
      <c r="E56" s="464"/>
      <c r="F56" s="229"/>
      <c r="G56" s="229"/>
      <c r="H56" s="229">
        <v>6058</v>
      </c>
      <c r="I56" s="230">
        <f>SUM(L56:N56)</f>
        <v>500000</v>
      </c>
      <c r="J56" s="231"/>
      <c r="K56" s="231"/>
      <c r="L56" s="253">
        <f t="shared" si="14"/>
        <v>0</v>
      </c>
      <c r="M56" s="230">
        <v>500000</v>
      </c>
      <c r="N56" s="232"/>
      <c r="O56" s="233"/>
      <c r="P56" s="233"/>
      <c r="Q56" s="233"/>
      <c r="R56" s="234">
        <f aca="true" t="shared" si="16" ref="R56:R69">SUM(L56:P56)</f>
        <v>500000</v>
      </c>
    </row>
    <row r="57" spans="1:18" s="19" customFormat="1" ht="12" customHeight="1">
      <c r="A57" s="465"/>
      <c r="B57" s="466"/>
      <c r="C57" s="467"/>
      <c r="D57" s="467"/>
      <c r="E57" s="467"/>
      <c r="F57" s="241"/>
      <c r="G57" s="241"/>
      <c r="H57" s="241">
        <v>6059</v>
      </c>
      <c r="I57" s="242">
        <f>SUM(L57:O57)</f>
        <v>2364900</v>
      </c>
      <c r="J57" s="243">
        <v>64900</v>
      </c>
      <c r="K57" s="243"/>
      <c r="L57" s="255">
        <f t="shared" si="14"/>
        <v>64900</v>
      </c>
      <c r="M57" s="242">
        <v>300000</v>
      </c>
      <c r="N57" s="244">
        <v>1750000</v>
      </c>
      <c r="O57" s="244">
        <v>250000</v>
      </c>
      <c r="P57" s="245"/>
      <c r="Q57" s="245"/>
      <c r="R57" s="246">
        <f t="shared" si="16"/>
        <v>2364900</v>
      </c>
    </row>
    <row r="58" spans="1:19" s="19" customFormat="1" ht="12.75" customHeight="1">
      <c r="A58" s="263" t="s">
        <v>275</v>
      </c>
      <c r="B58" s="247" t="s">
        <v>186</v>
      </c>
      <c r="C58" s="462" t="s">
        <v>180</v>
      </c>
      <c r="D58" s="462">
        <v>2010</v>
      </c>
      <c r="E58" s="462">
        <v>2014</v>
      </c>
      <c r="F58" s="649" t="s">
        <v>171</v>
      </c>
      <c r="G58" s="649"/>
      <c r="H58" s="649"/>
      <c r="I58" s="257">
        <f>I59+I60</f>
        <v>1909350</v>
      </c>
      <c r="J58" s="252">
        <f>SUM(J59:J60)</f>
        <v>4470</v>
      </c>
      <c r="K58" s="252">
        <f>SUM(K59:K60)</f>
        <v>0</v>
      </c>
      <c r="L58" s="214">
        <f t="shared" si="14"/>
        <v>4470</v>
      </c>
      <c r="M58" s="257">
        <f>SUM(M59:M60)</f>
        <v>150000</v>
      </c>
      <c r="N58" s="257">
        <f>SUM(N59:N60)</f>
        <v>1500000</v>
      </c>
      <c r="O58" s="257">
        <f>SUM(O59:O60)</f>
        <v>250000</v>
      </c>
      <c r="P58" s="258">
        <v>0</v>
      </c>
      <c r="Q58" s="258">
        <v>0</v>
      </c>
      <c r="R58" s="259">
        <f>SUM(L58:P58)</f>
        <v>1904470</v>
      </c>
      <c r="S58" s="30">
        <f>R59+R60</f>
        <v>1904470</v>
      </c>
    </row>
    <row r="59" spans="1:18" s="19" customFormat="1" ht="12.75">
      <c r="A59" s="272"/>
      <c r="B59" s="463"/>
      <c r="C59" s="464"/>
      <c r="D59" s="464"/>
      <c r="E59" s="464"/>
      <c r="F59" s="282">
        <v>921</v>
      </c>
      <c r="G59" s="282">
        <v>92109</v>
      </c>
      <c r="H59" s="282">
        <v>6058</v>
      </c>
      <c r="I59" s="230">
        <f>N59</f>
        <v>500000</v>
      </c>
      <c r="J59" s="231">
        <v>0</v>
      </c>
      <c r="K59" s="231"/>
      <c r="L59" s="253">
        <f t="shared" si="14"/>
        <v>0</v>
      </c>
      <c r="M59" s="230">
        <v>0</v>
      </c>
      <c r="N59" s="232">
        <v>500000</v>
      </c>
      <c r="O59" s="233"/>
      <c r="P59" s="233"/>
      <c r="Q59" s="233"/>
      <c r="R59" s="234">
        <f t="shared" si="16"/>
        <v>500000</v>
      </c>
    </row>
    <row r="60" spans="1:18" s="19" customFormat="1" ht="12.75">
      <c r="A60" s="465"/>
      <c r="B60" s="466"/>
      <c r="C60" s="467"/>
      <c r="D60" s="467"/>
      <c r="E60" s="467"/>
      <c r="F60" s="241"/>
      <c r="G60" s="241"/>
      <c r="H60" s="241">
        <v>6059</v>
      </c>
      <c r="I60" s="242">
        <f>SUM(L60:O60)+4880</f>
        <v>1409350</v>
      </c>
      <c r="J60" s="243">
        <v>4470</v>
      </c>
      <c r="K60" s="243"/>
      <c r="L60" s="255">
        <f t="shared" si="14"/>
        <v>4470</v>
      </c>
      <c r="M60" s="242">
        <v>150000</v>
      </c>
      <c r="N60" s="244">
        <v>1000000</v>
      </c>
      <c r="O60" s="245">
        <v>250000</v>
      </c>
      <c r="P60" s="245"/>
      <c r="Q60" s="245"/>
      <c r="R60" s="246">
        <f t="shared" si="16"/>
        <v>1404470</v>
      </c>
    </row>
    <row r="61" spans="1:18" s="40" customFormat="1" ht="15.75" customHeight="1">
      <c r="A61" s="507" t="s">
        <v>187</v>
      </c>
      <c r="B61" s="508" t="s">
        <v>188</v>
      </c>
      <c r="C61" s="498" t="s">
        <v>167</v>
      </c>
      <c r="D61" s="498">
        <v>2006</v>
      </c>
      <c r="E61" s="498">
        <v>2015</v>
      </c>
      <c r="F61" s="498"/>
      <c r="G61" s="498"/>
      <c r="H61" s="498"/>
      <c r="I61" s="256">
        <f>I62+I70+I71</f>
        <v>103289737</v>
      </c>
      <c r="J61" s="509">
        <f aca="true" t="shared" si="17" ref="J61:Q61">J62+J70+J71</f>
        <v>6631515</v>
      </c>
      <c r="K61" s="509">
        <f t="shared" si="17"/>
        <v>-100000</v>
      </c>
      <c r="L61" s="509">
        <f>L62+L70+L71</f>
        <v>6531515</v>
      </c>
      <c r="M61" s="509">
        <f t="shared" si="17"/>
        <v>27987000</v>
      </c>
      <c r="N61" s="509">
        <f t="shared" si="17"/>
        <v>26000000</v>
      </c>
      <c r="O61" s="509">
        <f t="shared" si="17"/>
        <v>11400000</v>
      </c>
      <c r="P61" s="509">
        <f t="shared" si="17"/>
        <v>29000000</v>
      </c>
      <c r="Q61" s="509">
        <f t="shared" si="17"/>
        <v>0</v>
      </c>
      <c r="R61" s="509">
        <f>R62+R70+R71</f>
        <v>100918515</v>
      </c>
    </row>
    <row r="62" spans="1:18" s="19" customFormat="1" ht="30" customHeight="1" thickBot="1">
      <c r="A62" s="263" t="s">
        <v>189</v>
      </c>
      <c r="B62" s="247" t="s">
        <v>239</v>
      </c>
      <c r="C62" s="504" t="s">
        <v>170</v>
      </c>
      <c r="D62" s="505">
        <v>2006</v>
      </c>
      <c r="E62" s="505">
        <v>2015</v>
      </c>
      <c r="F62" s="652" t="s">
        <v>171</v>
      </c>
      <c r="G62" s="652"/>
      <c r="H62" s="652"/>
      <c r="I62" s="506">
        <f>SUM(I63:I69)</f>
        <v>100967737</v>
      </c>
      <c r="J62" s="506">
        <f>SUM(J63:J69)</f>
        <v>6436515</v>
      </c>
      <c r="K62" s="506">
        <f aca="true" t="shared" si="18" ref="K62:Q62">SUM(K63:K69)</f>
        <v>0</v>
      </c>
      <c r="L62" s="506">
        <f>SUM(L63:L69)</f>
        <v>6436515</v>
      </c>
      <c r="M62" s="506">
        <f t="shared" si="18"/>
        <v>26760000</v>
      </c>
      <c r="N62" s="506">
        <f t="shared" si="18"/>
        <v>25000000</v>
      </c>
      <c r="O62" s="506">
        <f t="shared" si="18"/>
        <v>11400000</v>
      </c>
      <c r="P62" s="506">
        <f t="shared" si="18"/>
        <v>29000000</v>
      </c>
      <c r="Q62" s="506">
        <f t="shared" si="18"/>
        <v>0</v>
      </c>
      <c r="R62" s="506">
        <f>SUM(R63:R69)</f>
        <v>98596515</v>
      </c>
    </row>
    <row r="63" spans="1:18" s="19" customFormat="1" ht="15" customHeight="1">
      <c r="A63" s="264"/>
      <c r="B63" s="446" t="s">
        <v>190</v>
      </c>
      <c r="C63" s="265"/>
      <c r="D63" s="265"/>
      <c r="E63" s="265"/>
      <c r="F63" s="265">
        <v>801</v>
      </c>
      <c r="G63" s="265">
        <v>80101</v>
      </c>
      <c r="H63" s="265">
        <v>6050</v>
      </c>
      <c r="I63" s="266">
        <v>11147737</v>
      </c>
      <c r="J63" s="267">
        <v>1336515</v>
      </c>
      <c r="K63" s="267"/>
      <c r="L63" s="268">
        <f aca="true" t="shared" si="19" ref="L63:L71">J63+K63</f>
        <v>1336515</v>
      </c>
      <c r="M63" s="266"/>
      <c r="N63" s="269">
        <v>7440000</v>
      </c>
      <c r="O63" s="270"/>
      <c r="P63" s="270"/>
      <c r="Q63" s="270"/>
      <c r="R63" s="271">
        <f t="shared" si="16"/>
        <v>8776515</v>
      </c>
    </row>
    <row r="64" spans="1:18" s="19" customFormat="1" ht="15" customHeight="1">
      <c r="A64" s="272"/>
      <c r="B64" s="447"/>
      <c r="C64" s="235"/>
      <c r="D64" s="235"/>
      <c r="E64" s="235"/>
      <c r="F64" s="235"/>
      <c r="G64" s="235"/>
      <c r="H64" s="235">
        <v>6058</v>
      </c>
      <c r="I64" s="236">
        <f>SUM(L64:N64)</f>
        <v>10000000</v>
      </c>
      <c r="J64" s="237"/>
      <c r="K64" s="237"/>
      <c r="L64" s="254">
        <f t="shared" si="19"/>
        <v>0</v>
      </c>
      <c r="M64" s="236">
        <v>10000000</v>
      </c>
      <c r="N64" s="238"/>
      <c r="O64" s="239"/>
      <c r="P64" s="239"/>
      <c r="Q64" s="239"/>
      <c r="R64" s="240">
        <f t="shared" si="16"/>
        <v>10000000</v>
      </c>
    </row>
    <row r="65" spans="1:18" s="19" customFormat="1" ht="15.75" customHeight="1" thickBot="1">
      <c r="A65" s="273"/>
      <c r="B65" s="274"/>
      <c r="C65" s="275"/>
      <c r="D65" s="275"/>
      <c r="E65" s="275"/>
      <c r="F65" s="275"/>
      <c r="G65" s="275"/>
      <c r="H65" s="275">
        <v>6059</v>
      </c>
      <c r="I65" s="276">
        <f>SUM(L65:N65)</f>
        <v>39420000</v>
      </c>
      <c r="J65" s="277">
        <v>5100000</v>
      </c>
      <c r="K65" s="277"/>
      <c r="L65" s="278">
        <f t="shared" si="19"/>
        <v>5100000</v>
      </c>
      <c r="M65" s="276">
        <v>16760000</v>
      </c>
      <c r="N65" s="279">
        <v>17560000</v>
      </c>
      <c r="O65" s="280"/>
      <c r="P65" s="280"/>
      <c r="Q65" s="280"/>
      <c r="R65" s="281">
        <f t="shared" si="16"/>
        <v>39420000</v>
      </c>
    </row>
    <row r="66" spans="1:18" s="19" customFormat="1" ht="15" customHeight="1">
      <c r="A66" s="264"/>
      <c r="B66" s="658" t="s">
        <v>191</v>
      </c>
      <c r="C66" s="282"/>
      <c r="D66" s="282"/>
      <c r="E66" s="282"/>
      <c r="F66" s="282"/>
      <c r="G66" s="282"/>
      <c r="H66" s="282">
        <v>6058</v>
      </c>
      <c r="I66" s="283">
        <f>SUM(J66:P66)</f>
        <v>4000000</v>
      </c>
      <c r="J66" s="284"/>
      <c r="K66" s="284"/>
      <c r="L66" s="268">
        <f t="shared" si="19"/>
        <v>0</v>
      </c>
      <c r="M66" s="283"/>
      <c r="N66" s="283"/>
      <c r="O66" s="282"/>
      <c r="P66" s="283">
        <v>4000000</v>
      </c>
      <c r="Q66" s="285"/>
      <c r="R66" s="286">
        <f t="shared" si="16"/>
        <v>4000000</v>
      </c>
    </row>
    <row r="67" spans="1:18" s="19" customFormat="1" ht="15" customHeight="1" thickBot="1">
      <c r="A67" s="272"/>
      <c r="B67" s="658"/>
      <c r="C67" s="287"/>
      <c r="D67" s="287"/>
      <c r="E67" s="287"/>
      <c r="F67" s="287"/>
      <c r="G67" s="287"/>
      <c r="H67" s="287">
        <v>6059</v>
      </c>
      <c r="I67" s="288">
        <f>SUM(L67:P67)</f>
        <v>16400000</v>
      </c>
      <c r="J67" s="289"/>
      <c r="K67" s="289"/>
      <c r="L67" s="278">
        <f t="shared" si="19"/>
        <v>0</v>
      </c>
      <c r="M67" s="288"/>
      <c r="N67" s="288"/>
      <c r="O67" s="288">
        <v>6400000</v>
      </c>
      <c r="P67" s="288">
        <v>10000000</v>
      </c>
      <c r="Q67" s="290"/>
      <c r="R67" s="291">
        <f t="shared" si="16"/>
        <v>16400000</v>
      </c>
    </row>
    <row r="68" spans="1:18" s="19" customFormat="1" ht="15" customHeight="1" thickBot="1">
      <c r="A68" s="264"/>
      <c r="B68" s="648" t="s">
        <v>192</v>
      </c>
      <c r="C68" s="265"/>
      <c r="D68" s="265"/>
      <c r="E68" s="265"/>
      <c r="F68" s="265"/>
      <c r="G68" s="265"/>
      <c r="H68" s="265">
        <v>6058</v>
      </c>
      <c r="I68" s="266">
        <f>SUM(J68:P68)</f>
        <v>5000000</v>
      </c>
      <c r="J68" s="267"/>
      <c r="K68" s="267"/>
      <c r="L68" s="268">
        <f t="shared" si="19"/>
        <v>0</v>
      </c>
      <c r="M68" s="266"/>
      <c r="N68" s="266"/>
      <c r="O68" s="266"/>
      <c r="P68" s="266">
        <v>5000000</v>
      </c>
      <c r="Q68" s="270"/>
      <c r="R68" s="271">
        <f t="shared" si="16"/>
        <v>5000000</v>
      </c>
    </row>
    <row r="69" spans="1:18" s="19" customFormat="1" ht="15" customHeight="1" thickBot="1">
      <c r="A69" s="273"/>
      <c r="B69" s="648"/>
      <c r="C69" s="275"/>
      <c r="D69" s="275"/>
      <c r="E69" s="275"/>
      <c r="F69" s="275"/>
      <c r="G69" s="275"/>
      <c r="H69" s="275">
        <v>6059</v>
      </c>
      <c r="I69" s="276">
        <f>SUM(J69:P69)</f>
        <v>15000000</v>
      </c>
      <c r="J69" s="277"/>
      <c r="K69" s="277"/>
      <c r="L69" s="278">
        <f t="shared" si="19"/>
        <v>0</v>
      </c>
      <c r="M69" s="276"/>
      <c r="N69" s="276"/>
      <c r="O69" s="276">
        <v>5000000</v>
      </c>
      <c r="P69" s="276">
        <v>10000000</v>
      </c>
      <c r="Q69" s="280"/>
      <c r="R69" s="281">
        <f t="shared" si="16"/>
        <v>15000000</v>
      </c>
    </row>
    <row r="70" spans="1:18" s="19" customFormat="1" ht="45" customHeight="1">
      <c r="A70" s="225" t="s">
        <v>249</v>
      </c>
      <c r="B70" s="295" t="s">
        <v>276</v>
      </c>
      <c r="C70" s="226" t="s">
        <v>170</v>
      </c>
      <c r="D70" s="476">
        <v>2011</v>
      </c>
      <c r="E70" s="476">
        <v>2012</v>
      </c>
      <c r="F70" s="476">
        <v>801</v>
      </c>
      <c r="G70" s="476">
        <v>80101</v>
      </c>
      <c r="H70" s="476">
        <v>6050</v>
      </c>
      <c r="I70" s="61">
        <v>225000</v>
      </c>
      <c r="J70" s="252">
        <v>5000</v>
      </c>
      <c r="K70" s="252"/>
      <c r="L70" s="252">
        <f t="shared" si="19"/>
        <v>5000</v>
      </c>
      <c r="M70" s="61">
        <v>220000</v>
      </c>
      <c r="N70" s="228"/>
      <c r="O70" s="475">
        <v>0</v>
      </c>
      <c r="P70" s="475">
        <v>0</v>
      </c>
      <c r="Q70" s="475">
        <v>0</v>
      </c>
      <c r="R70" s="216">
        <f>SUM(L70:P70)</f>
        <v>225000</v>
      </c>
    </row>
    <row r="71" spans="1:18" s="19" customFormat="1" ht="33" customHeight="1">
      <c r="A71" s="263" t="s">
        <v>250</v>
      </c>
      <c r="B71" s="503" t="s">
        <v>203</v>
      </c>
      <c r="C71" s="226" t="s">
        <v>170</v>
      </c>
      <c r="D71" s="226">
        <v>2010</v>
      </c>
      <c r="E71" s="226">
        <v>2013</v>
      </c>
      <c r="F71" s="226">
        <v>801</v>
      </c>
      <c r="G71" s="226">
        <v>80104</v>
      </c>
      <c r="H71" s="226">
        <v>6050</v>
      </c>
      <c r="I71" s="260">
        <v>2097000</v>
      </c>
      <c r="J71" s="261">
        <v>190000</v>
      </c>
      <c r="K71" s="261">
        <v>-100000</v>
      </c>
      <c r="L71" s="261">
        <f t="shared" si="19"/>
        <v>90000</v>
      </c>
      <c r="M71" s="260">
        <v>1007000</v>
      </c>
      <c r="N71" s="477">
        <v>1000000</v>
      </c>
      <c r="O71" s="262">
        <v>0</v>
      </c>
      <c r="P71" s="262">
        <v>0</v>
      </c>
      <c r="Q71" s="262">
        <v>0</v>
      </c>
      <c r="R71" s="478">
        <f>SUM(L71:P71)</f>
        <v>2097000</v>
      </c>
    </row>
    <row r="72" spans="1:26" s="44" customFormat="1" ht="33.75" customHeight="1">
      <c r="A72" s="217" t="s">
        <v>119</v>
      </c>
      <c r="B72" s="218" t="s">
        <v>193</v>
      </c>
      <c r="C72" s="479"/>
      <c r="D72" s="479" t="s">
        <v>84</v>
      </c>
      <c r="E72" s="479" t="s">
        <v>84</v>
      </c>
      <c r="F72" s="479"/>
      <c r="G72" s="479"/>
      <c r="H72" s="479"/>
      <c r="I72" s="220">
        <f>I73</f>
        <v>14110859</v>
      </c>
      <c r="J72" s="221">
        <f>J73</f>
        <v>801200</v>
      </c>
      <c r="K72" s="221">
        <f>K74</f>
        <v>60266</v>
      </c>
      <c r="L72" s="221">
        <f>J72+K72</f>
        <v>861466</v>
      </c>
      <c r="M72" s="220">
        <f>M73</f>
        <v>9627018</v>
      </c>
      <c r="N72" s="220">
        <f>N73</f>
        <v>3199950</v>
      </c>
      <c r="O72" s="480">
        <v>0</v>
      </c>
      <c r="P72" s="480">
        <v>0</v>
      </c>
      <c r="Q72" s="480">
        <v>0</v>
      </c>
      <c r="R72" s="481">
        <f>SUM(L72:P72)</f>
        <v>13688434</v>
      </c>
      <c r="S72" s="19"/>
      <c r="T72" s="19"/>
      <c r="U72" s="19"/>
      <c r="V72" s="19"/>
      <c r="W72" s="19"/>
      <c r="X72" s="19"/>
      <c r="Y72" s="19"/>
      <c r="Z72" s="19"/>
    </row>
    <row r="73" spans="1:19" s="47" customFormat="1" ht="15.75">
      <c r="A73" s="292"/>
      <c r="B73" s="293" t="s">
        <v>161</v>
      </c>
      <c r="C73" s="294"/>
      <c r="D73" s="294" t="s">
        <v>84</v>
      </c>
      <c r="E73" s="294" t="s">
        <v>84</v>
      </c>
      <c r="F73" s="294"/>
      <c r="G73" s="294"/>
      <c r="H73" s="294"/>
      <c r="I73" s="228">
        <f>I74</f>
        <v>14110859</v>
      </c>
      <c r="J73" s="214">
        <f>J74</f>
        <v>801200</v>
      </c>
      <c r="K73" s="214">
        <f>K74</f>
        <v>60266</v>
      </c>
      <c r="L73" s="214">
        <f>L74</f>
        <v>861466</v>
      </c>
      <c r="M73" s="228">
        <f aca="true" t="shared" si="20" ref="M73:R73">M74</f>
        <v>9627018</v>
      </c>
      <c r="N73" s="228">
        <f t="shared" si="20"/>
        <v>3199950</v>
      </c>
      <c r="O73" s="228">
        <f t="shared" si="20"/>
        <v>0</v>
      </c>
      <c r="P73" s="228">
        <f t="shared" si="20"/>
        <v>0</v>
      </c>
      <c r="Q73" s="228">
        <f t="shared" si="20"/>
        <v>0</v>
      </c>
      <c r="R73" s="228">
        <f t="shared" si="20"/>
        <v>13688434</v>
      </c>
      <c r="S73" s="453" t="e">
        <f>R74+#REF!+#REF!</f>
        <v>#REF!</v>
      </c>
    </row>
    <row r="74" spans="1:19" s="47" customFormat="1" ht="19.5" customHeight="1">
      <c r="A74" s="525" t="s">
        <v>194</v>
      </c>
      <c r="B74" s="526" t="s">
        <v>195</v>
      </c>
      <c r="C74" s="527" t="s">
        <v>167</v>
      </c>
      <c r="D74" s="498">
        <v>2009</v>
      </c>
      <c r="E74" s="498">
        <v>2013</v>
      </c>
      <c r="F74" s="509"/>
      <c r="G74" s="509"/>
      <c r="H74" s="509"/>
      <c r="I74" s="509">
        <f>SUM(I75:I81,I88:I90)</f>
        <v>14110859</v>
      </c>
      <c r="J74" s="509">
        <f aca="true" t="shared" si="21" ref="J74:Q74">SUM(J75:J81,J88:J90)</f>
        <v>801200</v>
      </c>
      <c r="K74" s="509">
        <f>SUM(K75:K81,K88:K90)</f>
        <v>60266</v>
      </c>
      <c r="L74" s="509">
        <f t="shared" si="21"/>
        <v>861466</v>
      </c>
      <c r="M74" s="509">
        <f t="shared" si="21"/>
        <v>9627018</v>
      </c>
      <c r="N74" s="509">
        <f t="shared" si="21"/>
        <v>3199950</v>
      </c>
      <c r="O74" s="509">
        <f t="shared" si="21"/>
        <v>0</v>
      </c>
      <c r="P74" s="509">
        <f t="shared" si="21"/>
        <v>0</v>
      </c>
      <c r="Q74" s="509">
        <f t="shared" si="21"/>
        <v>0</v>
      </c>
      <c r="R74" s="509">
        <f>SUM(R75:R81,R88:R90)</f>
        <v>13688434</v>
      </c>
      <c r="S74" s="453">
        <f>SUM(R75:R90)</f>
        <v>13688434</v>
      </c>
    </row>
    <row r="75" spans="1:19" s="47" customFormat="1" ht="41.25" customHeight="1">
      <c r="A75" s="225" t="s">
        <v>196</v>
      </c>
      <c r="B75" s="516" t="s">
        <v>296</v>
      </c>
      <c r="C75" s="499" t="s">
        <v>180</v>
      </c>
      <c r="D75" s="499">
        <v>2009</v>
      </c>
      <c r="E75" s="499">
        <v>2012</v>
      </c>
      <c r="F75" s="61">
        <v>600</v>
      </c>
      <c r="G75" s="61" t="s">
        <v>197</v>
      </c>
      <c r="H75" s="61">
        <v>6050</v>
      </c>
      <c r="I75" s="61">
        <v>46018</v>
      </c>
      <c r="J75" s="252">
        <v>1000</v>
      </c>
      <c r="K75" s="252"/>
      <c r="L75" s="252">
        <f aca="true" t="shared" si="22" ref="L75:L81">J75+K75</f>
        <v>1000</v>
      </c>
      <c r="M75" s="61">
        <v>45018</v>
      </c>
      <c r="N75" s="228"/>
      <c r="O75" s="228"/>
      <c r="P75" s="228"/>
      <c r="Q75" s="228"/>
      <c r="R75" s="216">
        <f aca="true" t="shared" si="23" ref="R75:R81">SUM(L75:P75)</f>
        <v>46018</v>
      </c>
      <c r="S75" s="453">
        <f>L74+M74+N74</f>
        <v>13688434</v>
      </c>
    </row>
    <row r="76" spans="1:18" s="47" customFormat="1" ht="38.25">
      <c r="A76" s="225" t="s">
        <v>198</v>
      </c>
      <c r="B76" s="56" t="s">
        <v>264</v>
      </c>
      <c r="C76" s="499" t="s">
        <v>180</v>
      </c>
      <c r="D76" s="499">
        <v>2009</v>
      </c>
      <c r="E76" s="499">
        <v>2013</v>
      </c>
      <c r="F76" s="61">
        <v>600</v>
      </c>
      <c r="G76" s="61" t="s">
        <v>197</v>
      </c>
      <c r="H76" s="61">
        <v>6050</v>
      </c>
      <c r="I76" s="61">
        <v>8541532</v>
      </c>
      <c r="J76" s="252">
        <v>395200</v>
      </c>
      <c r="K76" s="252">
        <v>-199950</v>
      </c>
      <c r="L76" s="252">
        <f t="shared" si="22"/>
        <v>195250</v>
      </c>
      <c r="M76" s="61">
        <v>4800000</v>
      </c>
      <c r="N76" s="61">
        <v>3199950</v>
      </c>
      <c r="O76" s="228"/>
      <c r="P76" s="228"/>
      <c r="Q76" s="228"/>
      <c r="R76" s="216">
        <f t="shared" si="23"/>
        <v>8195200</v>
      </c>
    </row>
    <row r="77" spans="1:18" s="47" customFormat="1" ht="25.5">
      <c r="A77" s="225" t="s">
        <v>199</v>
      </c>
      <c r="B77" s="518" t="s">
        <v>277</v>
      </c>
      <c r="C77" s="499" t="s">
        <v>180</v>
      </c>
      <c r="D77" s="499">
        <v>2009</v>
      </c>
      <c r="E77" s="499">
        <v>2012</v>
      </c>
      <c r="F77" s="61">
        <v>600</v>
      </c>
      <c r="G77" s="61" t="s">
        <v>197</v>
      </c>
      <c r="H77" s="61">
        <v>6050</v>
      </c>
      <c r="I77" s="61">
        <v>160269</v>
      </c>
      <c r="J77" s="252"/>
      <c r="K77" s="252">
        <v>96990</v>
      </c>
      <c r="L77" s="252">
        <f t="shared" si="22"/>
        <v>96990</v>
      </c>
      <c r="M77" s="61">
        <v>10000</v>
      </c>
      <c r="N77" s="228"/>
      <c r="O77" s="228"/>
      <c r="P77" s="228"/>
      <c r="Q77" s="228"/>
      <c r="R77" s="216">
        <f t="shared" si="23"/>
        <v>106990</v>
      </c>
    </row>
    <row r="78" spans="1:18" s="47" customFormat="1" ht="38.25">
      <c r="A78" s="225" t="s">
        <v>201</v>
      </c>
      <c r="B78" s="494" t="s">
        <v>278</v>
      </c>
      <c r="C78" s="499" t="s">
        <v>180</v>
      </c>
      <c r="D78" s="499">
        <v>2009</v>
      </c>
      <c r="E78" s="499">
        <v>2012</v>
      </c>
      <c r="F78" s="61">
        <v>600</v>
      </c>
      <c r="G78" s="61" t="s">
        <v>197</v>
      </c>
      <c r="H78" s="61">
        <v>6050</v>
      </c>
      <c r="I78" s="61">
        <v>398315</v>
      </c>
      <c r="J78" s="252"/>
      <c r="K78" s="252">
        <v>501</v>
      </c>
      <c r="L78" s="252">
        <f t="shared" si="22"/>
        <v>501</v>
      </c>
      <c r="M78" s="61">
        <v>375000</v>
      </c>
      <c r="N78" s="61"/>
      <c r="O78" s="228"/>
      <c r="P78" s="228"/>
      <c r="Q78" s="228"/>
      <c r="R78" s="216">
        <f t="shared" si="23"/>
        <v>375501</v>
      </c>
    </row>
    <row r="79" spans="1:18" s="47" customFormat="1" ht="25.5">
      <c r="A79" s="225" t="s">
        <v>280</v>
      </c>
      <c r="B79" s="495" t="s">
        <v>292</v>
      </c>
      <c r="C79" s="499" t="s">
        <v>180</v>
      </c>
      <c r="D79" s="499">
        <v>2011</v>
      </c>
      <c r="E79" s="499">
        <v>2012</v>
      </c>
      <c r="F79" s="61">
        <v>600</v>
      </c>
      <c r="G79" s="61">
        <v>60016</v>
      </c>
      <c r="H79" s="61">
        <v>6050</v>
      </c>
      <c r="I79" s="61">
        <v>65000</v>
      </c>
      <c r="J79" s="252">
        <v>5000</v>
      </c>
      <c r="K79" s="252"/>
      <c r="L79" s="252">
        <f t="shared" si="22"/>
        <v>5000</v>
      </c>
      <c r="M79" s="61">
        <v>60000</v>
      </c>
      <c r="N79" s="228"/>
      <c r="O79" s="228"/>
      <c r="P79" s="228"/>
      <c r="Q79" s="228"/>
      <c r="R79" s="216">
        <f t="shared" si="23"/>
        <v>65000</v>
      </c>
    </row>
    <row r="80" spans="1:18" s="47" customFormat="1" ht="23.25" customHeight="1">
      <c r="A80" s="225" t="s">
        <v>263</v>
      </c>
      <c r="B80" s="494" t="s">
        <v>295</v>
      </c>
      <c r="C80" s="499" t="s">
        <v>180</v>
      </c>
      <c r="D80" s="499">
        <v>2011</v>
      </c>
      <c r="E80" s="499">
        <v>2012</v>
      </c>
      <c r="F80" s="61">
        <v>600</v>
      </c>
      <c r="G80" s="61" t="s">
        <v>197</v>
      </c>
      <c r="H80" s="61">
        <v>6050</v>
      </c>
      <c r="I80" s="61">
        <v>463000</v>
      </c>
      <c r="J80" s="252"/>
      <c r="K80" s="252">
        <v>76000</v>
      </c>
      <c r="L80" s="252">
        <f t="shared" si="22"/>
        <v>76000</v>
      </c>
      <c r="M80" s="61">
        <v>387000</v>
      </c>
      <c r="N80" s="61"/>
      <c r="O80" s="228"/>
      <c r="P80" s="228"/>
      <c r="Q80" s="228"/>
      <c r="R80" s="216">
        <f t="shared" si="23"/>
        <v>463000</v>
      </c>
    </row>
    <row r="81" spans="1:18" s="47" customFormat="1" ht="23.25" customHeight="1" thickBot="1">
      <c r="A81" s="519" t="s">
        <v>269</v>
      </c>
      <c r="B81" s="520" t="s">
        <v>298</v>
      </c>
      <c r="C81" s="521" t="s">
        <v>180</v>
      </c>
      <c r="D81" s="521">
        <v>2011</v>
      </c>
      <c r="E81" s="521">
        <v>2012</v>
      </c>
      <c r="F81" s="522">
        <v>600</v>
      </c>
      <c r="G81" s="522" t="s">
        <v>197</v>
      </c>
      <c r="H81" s="522">
        <v>6050</v>
      </c>
      <c r="I81" s="522">
        <v>2026375</v>
      </c>
      <c r="J81" s="523">
        <v>200000</v>
      </c>
      <c r="K81" s="523">
        <v>26375</v>
      </c>
      <c r="L81" s="523">
        <f t="shared" si="22"/>
        <v>226375</v>
      </c>
      <c r="M81" s="522">
        <v>1800000</v>
      </c>
      <c r="N81" s="522"/>
      <c r="O81" s="522"/>
      <c r="P81" s="522"/>
      <c r="Q81" s="522"/>
      <c r="R81" s="524">
        <f t="shared" si="23"/>
        <v>2026375</v>
      </c>
    </row>
    <row r="82" spans="1:18" s="47" customFormat="1" ht="7.5" customHeight="1" thickBot="1">
      <c r="A82" s="540"/>
      <c r="B82" s="541"/>
      <c r="C82" s="542"/>
      <c r="D82" s="542"/>
      <c r="E82" s="542"/>
      <c r="F82" s="543"/>
      <c r="G82" s="543"/>
      <c r="H82" s="543"/>
      <c r="I82" s="551"/>
      <c r="J82" s="551"/>
      <c r="K82" s="551"/>
      <c r="L82" s="551"/>
      <c r="M82" s="551"/>
      <c r="N82" s="543"/>
      <c r="O82" s="543"/>
      <c r="P82" s="543"/>
      <c r="Q82" s="543"/>
      <c r="R82" s="544"/>
    </row>
    <row r="83" spans="1:18" s="47" customFormat="1" ht="34.5" customHeight="1" hidden="1" thickBot="1">
      <c r="A83" s="545"/>
      <c r="B83" s="546"/>
      <c r="C83" s="547"/>
      <c r="D83" s="547"/>
      <c r="E83" s="547"/>
      <c r="F83" s="548"/>
      <c r="G83" s="548"/>
      <c r="H83" s="548"/>
      <c r="I83" s="548"/>
      <c r="J83" s="549"/>
      <c r="K83" s="549"/>
      <c r="L83" s="549"/>
      <c r="M83" s="548"/>
      <c r="N83" s="548"/>
      <c r="O83" s="548"/>
      <c r="P83" s="548"/>
      <c r="Q83" s="548"/>
      <c r="R83" s="550"/>
    </row>
    <row r="84" spans="1:18" s="47" customFormat="1" ht="34.5" customHeight="1" hidden="1" thickBot="1">
      <c r="A84" s="545"/>
      <c r="B84" s="546"/>
      <c r="C84" s="547"/>
      <c r="D84" s="547"/>
      <c r="E84" s="547"/>
      <c r="F84" s="548"/>
      <c r="G84" s="548"/>
      <c r="H84" s="548"/>
      <c r="I84" s="548"/>
      <c r="J84" s="549"/>
      <c r="K84" s="549"/>
      <c r="L84" s="549"/>
      <c r="M84" s="548"/>
      <c r="N84" s="548"/>
      <c r="O84" s="548"/>
      <c r="P84" s="548"/>
      <c r="Q84" s="548"/>
      <c r="R84" s="550"/>
    </row>
    <row r="85" spans="1:18" s="47" customFormat="1" ht="16.5" customHeight="1">
      <c r="A85" s="635" t="s">
        <v>115</v>
      </c>
      <c r="B85" s="638" t="s">
        <v>148</v>
      </c>
      <c r="C85" s="641" t="s">
        <v>149</v>
      </c>
      <c r="D85" s="644" t="s">
        <v>243</v>
      </c>
      <c r="E85" s="644"/>
      <c r="F85" s="644" t="s">
        <v>150</v>
      </c>
      <c r="G85" s="644"/>
      <c r="H85" s="644"/>
      <c r="I85" s="627" t="s">
        <v>151</v>
      </c>
      <c r="J85" s="627" t="s">
        <v>152</v>
      </c>
      <c r="K85" s="627"/>
      <c r="L85" s="627"/>
      <c r="M85" s="627"/>
      <c r="N85" s="627"/>
      <c r="O85" s="627"/>
      <c r="P85" s="627"/>
      <c r="Q85" s="627"/>
      <c r="R85" s="628" t="s">
        <v>153</v>
      </c>
    </row>
    <row r="86" spans="1:18" s="47" customFormat="1" ht="19.5" customHeight="1">
      <c r="A86" s="636"/>
      <c r="B86" s="639"/>
      <c r="C86" s="642"/>
      <c r="D86" s="645"/>
      <c r="E86" s="645"/>
      <c r="F86" s="645"/>
      <c r="G86" s="645"/>
      <c r="H86" s="645"/>
      <c r="I86" s="646"/>
      <c r="J86" s="631">
        <v>2011</v>
      </c>
      <c r="K86" s="631"/>
      <c r="L86" s="632"/>
      <c r="M86" s="633">
        <v>2012</v>
      </c>
      <c r="N86" s="633">
        <v>2013</v>
      </c>
      <c r="O86" s="633">
        <v>2014</v>
      </c>
      <c r="P86" s="633">
        <v>2015</v>
      </c>
      <c r="Q86" s="539">
        <v>2015</v>
      </c>
      <c r="R86" s="629"/>
    </row>
    <row r="87" spans="1:18" s="47" customFormat="1" ht="19.5" customHeight="1" thickBot="1">
      <c r="A87" s="637"/>
      <c r="B87" s="640"/>
      <c r="C87" s="643"/>
      <c r="D87" s="473" t="s">
        <v>154</v>
      </c>
      <c r="E87" s="473" t="s">
        <v>155</v>
      </c>
      <c r="F87" s="473" t="s">
        <v>156</v>
      </c>
      <c r="G87" s="473" t="s">
        <v>157</v>
      </c>
      <c r="H87" s="473" t="s">
        <v>158</v>
      </c>
      <c r="I87" s="647"/>
      <c r="J87" s="474" t="s">
        <v>212</v>
      </c>
      <c r="K87" s="474" t="s">
        <v>213</v>
      </c>
      <c r="L87" s="474" t="s">
        <v>214</v>
      </c>
      <c r="M87" s="634"/>
      <c r="N87" s="634"/>
      <c r="O87" s="634"/>
      <c r="P87" s="634"/>
      <c r="Q87" s="473"/>
      <c r="R87" s="630"/>
    </row>
    <row r="88" spans="1:18" s="47" customFormat="1" ht="25.5">
      <c r="A88" s="225" t="s">
        <v>281</v>
      </c>
      <c r="B88" s="517" t="s">
        <v>279</v>
      </c>
      <c r="C88" s="499" t="s">
        <v>180</v>
      </c>
      <c r="D88" s="499">
        <v>2011</v>
      </c>
      <c r="E88" s="499">
        <v>2012</v>
      </c>
      <c r="F88" s="61">
        <v>600</v>
      </c>
      <c r="G88" s="61" t="s">
        <v>197</v>
      </c>
      <c r="H88" s="61">
        <v>6050</v>
      </c>
      <c r="I88" s="61">
        <v>101000</v>
      </c>
      <c r="J88" s="252"/>
      <c r="K88" s="252">
        <v>1000</v>
      </c>
      <c r="L88" s="252">
        <f>J88+K88</f>
        <v>1000</v>
      </c>
      <c r="M88" s="61">
        <v>100000</v>
      </c>
      <c r="N88" s="61"/>
      <c r="O88" s="228"/>
      <c r="P88" s="228"/>
      <c r="Q88" s="228"/>
      <c r="R88" s="216">
        <f aca="true" t="shared" si="24" ref="R88:R95">SUM(L88:P88)</f>
        <v>101000</v>
      </c>
    </row>
    <row r="89" spans="1:18" s="47" customFormat="1" ht="44.25" customHeight="1">
      <c r="A89" s="225" t="s">
        <v>282</v>
      </c>
      <c r="B89" s="494" t="s">
        <v>301</v>
      </c>
      <c r="C89" s="499" t="s">
        <v>180</v>
      </c>
      <c r="D89" s="499">
        <v>2011</v>
      </c>
      <c r="E89" s="499">
        <v>2012</v>
      </c>
      <c r="F89" s="61">
        <v>600</v>
      </c>
      <c r="G89" s="61" t="s">
        <v>197</v>
      </c>
      <c r="H89" s="61">
        <v>6050</v>
      </c>
      <c r="I89" s="61">
        <v>2050000</v>
      </c>
      <c r="J89" s="252">
        <v>200000</v>
      </c>
      <c r="K89" s="252">
        <v>50000</v>
      </c>
      <c r="L89" s="252">
        <f>J89+K89</f>
        <v>250000</v>
      </c>
      <c r="M89" s="61">
        <v>1800000</v>
      </c>
      <c r="N89" s="228"/>
      <c r="O89" s="228"/>
      <c r="P89" s="228"/>
      <c r="Q89" s="228"/>
      <c r="R89" s="216">
        <f t="shared" si="24"/>
        <v>2050000</v>
      </c>
    </row>
    <row r="90" spans="1:18" s="47" customFormat="1" ht="25.5">
      <c r="A90" s="225" t="s">
        <v>283</v>
      </c>
      <c r="B90" s="495" t="s">
        <v>293</v>
      </c>
      <c r="C90" s="499" t="s">
        <v>180</v>
      </c>
      <c r="D90" s="499">
        <v>2011</v>
      </c>
      <c r="E90" s="499">
        <v>2012</v>
      </c>
      <c r="F90" s="61">
        <v>600</v>
      </c>
      <c r="G90" s="61" t="s">
        <v>197</v>
      </c>
      <c r="H90" s="61">
        <v>6050</v>
      </c>
      <c r="I90" s="61">
        <v>259350</v>
      </c>
      <c r="J90" s="252"/>
      <c r="K90" s="252">
        <v>9350</v>
      </c>
      <c r="L90" s="252">
        <f>J90+K90</f>
        <v>9350</v>
      </c>
      <c r="M90" s="61">
        <v>250000</v>
      </c>
      <c r="N90" s="61"/>
      <c r="O90" s="61"/>
      <c r="P90" s="61"/>
      <c r="Q90" s="61"/>
      <c r="R90" s="216">
        <f t="shared" si="24"/>
        <v>259350</v>
      </c>
    </row>
    <row r="91" spans="1:18" ht="71.25" customHeight="1">
      <c r="A91" s="449" t="s">
        <v>204</v>
      </c>
      <c r="B91" s="470" t="s">
        <v>205</v>
      </c>
      <c r="C91" s="450"/>
      <c r="D91" s="451" t="s">
        <v>84</v>
      </c>
      <c r="E91" s="450" t="s">
        <v>84</v>
      </c>
      <c r="F91" s="450"/>
      <c r="G91" s="450"/>
      <c r="H91" s="450"/>
      <c r="I91" s="448">
        <f>I92</f>
        <v>7764834</v>
      </c>
      <c r="J91" s="221">
        <f>J92</f>
        <v>481517</v>
      </c>
      <c r="K91" s="221">
        <f>K92</f>
        <v>332000</v>
      </c>
      <c r="L91" s="221">
        <f>J91+K91</f>
        <v>813517</v>
      </c>
      <c r="M91" s="448">
        <f>M92</f>
        <v>5377517</v>
      </c>
      <c r="N91" s="448">
        <f>N92</f>
        <v>589800</v>
      </c>
      <c r="O91" s="448">
        <f>O92</f>
        <v>369000</v>
      </c>
      <c r="P91" s="448">
        <f>P92</f>
        <v>369000</v>
      </c>
      <c r="Q91" s="448">
        <v>0</v>
      </c>
      <c r="R91" s="454">
        <f t="shared" si="24"/>
        <v>7518834</v>
      </c>
    </row>
    <row r="92" spans="1:19" s="38" customFormat="1" ht="14.25">
      <c r="A92" s="211"/>
      <c r="B92" s="493" t="s">
        <v>160</v>
      </c>
      <c r="C92" s="227"/>
      <c r="D92" s="58" t="s">
        <v>84</v>
      </c>
      <c r="E92" s="296" t="s">
        <v>84</v>
      </c>
      <c r="F92" s="296"/>
      <c r="G92" s="296"/>
      <c r="H92" s="296"/>
      <c r="I92" s="213">
        <f>SUM(I93:I107)</f>
        <v>7764834</v>
      </c>
      <c r="J92" s="214">
        <f aca="true" t="shared" si="25" ref="J92:P92">SUM(J93:J97,J98:J107)</f>
        <v>481517</v>
      </c>
      <c r="K92" s="214">
        <f>SUM(K93:K97,K98:K107)</f>
        <v>332000</v>
      </c>
      <c r="L92" s="214">
        <f t="shared" si="25"/>
        <v>813517</v>
      </c>
      <c r="M92" s="214">
        <f t="shared" si="25"/>
        <v>5377517</v>
      </c>
      <c r="N92" s="214">
        <f t="shared" si="25"/>
        <v>589800</v>
      </c>
      <c r="O92" s="214">
        <f t="shared" si="25"/>
        <v>369000</v>
      </c>
      <c r="P92" s="214">
        <f t="shared" si="25"/>
        <v>369000</v>
      </c>
      <c r="Q92" s="52">
        <v>0</v>
      </c>
      <c r="R92" s="216">
        <f t="shared" si="24"/>
        <v>7518834</v>
      </c>
      <c r="S92" s="452">
        <f>SUM(R93:R107)</f>
        <v>7518834</v>
      </c>
    </row>
    <row r="93" spans="1:18" ht="12.75">
      <c r="A93" s="181" t="s">
        <v>163</v>
      </c>
      <c r="B93" s="496" t="s">
        <v>284</v>
      </c>
      <c r="C93" s="499" t="s">
        <v>180</v>
      </c>
      <c r="D93" s="497">
        <v>2011</v>
      </c>
      <c r="E93" s="497">
        <v>2012</v>
      </c>
      <c r="F93" s="497">
        <v>600</v>
      </c>
      <c r="G93" s="497">
        <v>60016</v>
      </c>
      <c r="H93" s="497">
        <v>4270</v>
      </c>
      <c r="I93" s="52">
        <v>3200000</v>
      </c>
      <c r="J93" s="252"/>
      <c r="K93" s="252">
        <v>200000</v>
      </c>
      <c r="L93" s="214">
        <f>J93+K93</f>
        <v>200000</v>
      </c>
      <c r="M93" s="52">
        <v>3000000</v>
      </c>
      <c r="N93" s="52">
        <v>0</v>
      </c>
      <c r="O93" s="52">
        <v>0</v>
      </c>
      <c r="P93" s="52">
        <v>0</v>
      </c>
      <c r="Q93" s="52">
        <v>0</v>
      </c>
      <c r="R93" s="216">
        <f t="shared" si="24"/>
        <v>3200000</v>
      </c>
    </row>
    <row r="94" spans="1:18" ht="12.75">
      <c r="A94" s="181" t="s">
        <v>119</v>
      </c>
      <c r="B94" s="496" t="s">
        <v>297</v>
      </c>
      <c r="C94" s="499" t="s">
        <v>180</v>
      </c>
      <c r="D94" s="497">
        <v>2011</v>
      </c>
      <c r="E94" s="497">
        <v>2012</v>
      </c>
      <c r="F94" s="497">
        <v>600</v>
      </c>
      <c r="G94" s="497">
        <v>60016</v>
      </c>
      <c r="H94" s="497">
        <v>4300</v>
      </c>
      <c r="I94" s="52">
        <v>600000</v>
      </c>
      <c r="J94" s="252"/>
      <c r="K94" s="252">
        <v>100000</v>
      </c>
      <c r="L94" s="214">
        <f>J94+K94</f>
        <v>100000</v>
      </c>
      <c r="M94" s="52">
        <v>500000</v>
      </c>
      <c r="N94" s="52">
        <v>0</v>
      </c>
      <c r="O94" s="52">
        <v>0</v>
      </c>
      <c r="P94" s="52">
        <v>0</v>
      </c>
      <c r="Q94" s="52">
        <v>0</v>
      </c>
      <c r="R94" s="216">
        <f t="shared" si="24"/>
        <v>600000</v>
      </c>
    </row>
    <row r="95" spans="1:18" ht="25.5">
      <c r="A95" s="181" t="s">
        <v>121</v>
      </c>
      <c r="B95" s="496" t="s">
        <v>206</v>
      </c>
      <c r="C95" s="499" t="s">
        <v>180</v>
      </c>
      <c r="D95" s="497">
        <v>2011</v>
      </c>
      <c r="E95" s="497">
        <v>2012</v>
      </c>
      <c r="F95" s="497">
        <v>700</v>
      </c>
      <c r="G95" s="497">
        <v>70005</v>
      </c>
      <c r="H95" s="497">
        <v>4400</v>
      </c>
      <c r="I95" s="52">
        <f>J95+M95</f>
        <v>44344</v>
      </c>
      <c r="J95" s="252">
        <v>22172</v>
      </c>
      <c r="K95" s="252"/>
      <c r="L95" s="214">
        <f>J95+K95</f>
        <v>22172</v>
      </c>
      <c r="M95" s="52">
        <v>22172</v>
      </c>
      <c r="N95" s="52">
        <v>0</v>
      </c>
      <c r="O95" s="52">
        <v>0</v>
      </c>
      <c r="P95" s="52">
        <v>0</v>
      </c>
      <c r="Q95" s="52">
        <v>0</v>
      </c>
      <c r="R95" s="216">
        <f t="shared" si="24"/>
        <v>44344</v>
      </c>
    </row>
    <row r="96" spans="1:18" ht="25.5">
      <c r="A96" s="181" t="s">
        <v>123</v>
      </c>
      <c r="B96" s="496" t="s">
        <v>251</v>
      </c>
      <c r="C96" s="499" t="s">
        <v>180</v>
      </c>
      <c r="D96" s="497">
        <v>2011</v>
      </c>
      <c r="E96" s="497">
        <v>2012</v>
      </c>
      <c r="F96" s="497">
        <v>700</v>
      </c>
      <c r="G96" s="497">
        <v>70005</v>
      </c>
      <c r="H96" s="497">
        <v>4300</v>
      </c>
      <c r="I96" s="52">
        <f>J96+M96</f>
        <v>28306</v>
      </c>
      <c r="J96" s="252">
        <v>14153</v>
      </c>
      <c r="K96" s="252"/>
      <c r="L96" s="214">
        <f aca="true" t="shared" si="26" ref="L96:L102">J96+K96</f>
        <v>14153</v>
      </c>
      <c r="M96" s="52">
        <v>14153</v>
      </c>
      <c r="N96" s="52">
        <v>0</v>
      </c>
      <c r="O96" s="52">
        <v>0</v>
      </c>
      <c r="P96" s="52">
        <v>0</v>
      </c>
      <c r="Q96" s="52">
        <v>0</v>
      </c>
      <c r="R96" s="216">
        <f aca="true" t="shared" si="27" ref="R96:R102">SUM(L96:P96)</f>
        <v>28306</v>
      </c>
    </row>
    <row r="97" spans="1:18" ht="38.25">
      <c r="A97" s="181" t="s">
        <v>125</v>
      </c>
      <c r="B97" s="496" t="s">
        <v>252</v>
      </c>
      <c r="C97" s="297" t="s">
        <v>170</v>
      </c>
      <c r="D97" s="497">
        <v>2011</v>
      </c>
      <c r="E97" s="497">
        <v>2012</v>
      </c>
      <c r="F97" s="497">
        <v>600</v>
      </c>
      <c r="G97" s="497">
        <v>60016</v>
      </c>
      <c r="H97" s="497">
        <v>4300</v>
      </c>
      <c r="I97" s="52">
        <f>J97+M97</f>
        <v>40626</v>
      </c>
      <c r="J97" s="252">
        <v>20313</v>
      </c>
      <c r="K97" s="252"/>
      <c r="L97" s="214">
        <f t="shared" si="26"/>
        <v>20313</v>
      </c>
      <c r="M97" s="52">
        <v>20313</v>
      </c>
      <c r="N97" s="52">
        <v>0</v>
      </c>
      <c r="O97" s="52">
        <v>0</v>
      </c>
      <c r="P97" s="52">
        <v>0</v>
      </c>
      <c r="Q97" s="52">
        <v>0</v>
      </c>
      <c r="R97" s="216">
        <f t="shared" si="27"/>
        <v>40626</v>
      </c>
    </row>
    <row r="98" spans="1:18" ht="18" customHeight="1">
      <c r="A98" s="181" t="s">
        <v>127</v>
      </c>
      <c r="B98" s="496" t="s">
        <v>207</v>
      </c>
      <c r="C98" s="499" t="s">
        <v>208</v>
      </c>
      <c r="D98" s="497">
        <v>2011</v>
      </c>
      <c r="E98" s="497">
        <v>2013</v>
      </c>
      <c r="F98" s="497">
        <v>750</v>
      </c>
      <c r="G98" s="497">
        <v>75023</v>
      </c>
      <c r="H98" s="497">
        <v>4300</v>
      </c>
      <c r="I98" s="52">
        <f>J98+M98+N98</f>
        <v>549000</v>
      </c>
      <c r="J98" s="252">
        <v>183000</v>
      </c>
      <c r="K98" s="252"/>
      <c r="L98" s="214">
        <f t="shared" si="26"/>
        <v>183000</v>
      </c>
      <c r="M98" s="52">
        <v>183000</v>
      </c>
      <c r="N98" s="52">
        <v>183000</v>
      </c>
      <c r="O98" s="52">
        <v>0</v>
      </c>
      <c r="P98" s="52">
        <v>0</v>
      </c>
      <c r="Q98" s="52">
        <v>0</v>
      </c>
      <c r="R98" s="216">
        <f t="shared" si="27"/>
        <v>549000</v>
      </c>
    </row>
    <row r="99" spans="1:18" ht="12.75">
      <c r="A99" s="181" t="s">
        <v>129</v>
      </c>
      <c r="B99" s="496" t="s">
        <v>209</v>
      </c>
      <c r="C99" s="499" t="s">
        <v>208</v>
      </c>
      <c r="D99" s="497">
        <v>2011</v>
      </c>
      <c r="E99" s="497">
        <v>2012</v>
      </c>
      <c r="F99" s="497">
        <v>750</v>
      </c>
      <c r="G99" s="497">
        <v>75023</v>
      </c>
      <c r="H99" s="497">
        <v>4300</v>
      </c>
      <c r="I99" s="52">
        <f>J99+M99</f>
        <v>8198</v>
      </c>
      <c r="J99" s="252">
        <v>4099</v>
      </c>
      <c r="K99" s="252"/>
      <c r="L99" s="214">
        <f t="shared" si="26"/>
        <v>4099</v>
      </c>
      <c r="M99" s="58">
        <v>4099</v>
      </c>
      <c r="N99" s="58">
        <v>0</v>
      </c>
      <c r="O99" s="52">
        <v>0</v>
      </c>
      <c r="P99" s="52">
        <v>0</v>
      </c>
      <c r="Q99" s="52">
        <v>0</v>
      </c>
      <c r="R99" s="216">
        <f t="shared" si="27"/>
        <v>8198</v>
      </c>
    </row>
    <row r="100" spans="1:18" ht="28.5" customHeight="1">
      <c r="A100" s="181" t="s">
        <v>131</v>
      </c>
      <c r="B100" s="496" t="s">
        <v>254</v>
      </c>
      <c r="C100" s="499" t="s">
        <v>208</v>
      </c>
      <c r="D100" s="497">
        <v>2011</v>
      </c>
      <c r="E100" s="497">
        <v>2012</v>
      </c>
      <c r="F100" s="497">
        <v>750</v>
      </c>
      <c r="G100" s="497">
        <v>75023</v>
      </c>
      <c r="H100" s="497">
        <v>4300</v>
      </c>
      <c r="I100" s="52">
        <f>J100+M100</f>
        <v>6360</v>
      </c>
      <c r="J100" s="252">
        <v>3180</v>
      </c>
      <c r="K100" s="252"/>
      <c r="L100" s="214">
        <f t="shared" si="26"/>
        <v>3180</v>
      </c>
      <c r="M100" s="58">
        <v>3180</v>
      </c>
      <c r="N100" s="58">
        <v>0</v>
      </c>
      <c r="O100" s="52">
        <v>0</v>
      </c>
      <c r="P100" s="52">
        <v>0</v>
      </c>
      <c r="Q100" s="52">
        <v>0</v>
      </c>
      <c r="R100" s="216">
        <f t="shared" si="27"/>
        <v>6360</v>
      </c>
    </row>
    <row r="101" spans="1:18" ht="51">
      <c r="A101" s="181" t="s">
        <v>133</v>
      </c>
      <c r="B101" s="496" t="s">
        <v>253</v>
      </c>
      <c r="C101" s="499" t="s">
        <v>210</v>
      </c>
      <c r="D101" s="497">
        <v>2011</v>
      </c>
      <c r="E101" s="497">
        <v>2013</v>
      </c>
      <c r="F101" s="497">
        <v>700</v>
      </c>
      <c r="G101" s="497">
        <v>70005</v>
      </c>
      <c r="H101" s="497">
        <v>4400</v>
      </c>
      <c r="I101" s="52">
        <f>J101+M101+N101</f>
        <v>252000</v>
      </c>
      <c r="J101" s="252">
        <v>108000</v>
      </c>
      <c r="K101" s="252"/>
      <c r="L101" s="214">
        <f t="shared" si="26"/>
        <v>108000</v>
      </c>
      <c r="M101" s="52">
        <v>108000</v>
      </c>
      <c r="N101" s="52">
        <v>36000</v>
      </c>
      <c r="O101" s="52">
        <v>0</v>
      </c>
      <c r="P101" s="52">
        <v>0</v>
      </c>
      <c r="Q101" s="52">
        <v>0</v>
      </c>
      <c r="R101" s="216">
        <f t="shared" si="27"/>
        <v>252000</v>
      </c>
    </row>
    <row r="102" spans="1:18" ht="25.5">
      <c r="A102" s="181" t="s">
        <v>136</v>
      </c>
      <c r="B102" s="496" t="s">
        <v>211</v>
      </c>
      <c r="C102" s="499" t="s">
        <v>210</v>
      </c>
      <c r="D102" s="497">
        <v>2011</v>
      </c>
      <c r="E102" s="497">
        <v>2013</v>
      </c>
      <c r="F102" s="497">
        <v>700</v>
      </c>
      <c r="G102" s="497">
        <v>70005</v>
      </c>
      <c r="H102" s="497">
        <v>4400</v>
      </c>
      <c r="I102" s="52">
        <f>J102+M102+N102</f>
        <v>9000</v>
      </c>
      <c r="J102" s="252">
        <v>3600</v>
      </c>
      <c r="K102" s="252"/>
      <c r="L102" s="214">
        <f t="shared" si="26"/>
        <v>3600</v>
      </c>
      <c r="M102" s="52">
        <v>3600</v>
      </c>
      <c r="N102" s="58">
        <v>1800</v>
      </c>
      <c r="O102" s="52">
        <v>0</v>
      </c>
      <c r="P102" s="52">
        <v>0</v>
      </c>
      <c r="Q102" s="52">
        <v>0</v>
      </c>
      <c r="R102" s="216">
        <f t="shared" si="27"/>
        <v>9000</v>
      </c>
    </row>
    <row r="103" spans="1:18" ht="27.75">
      <c r="A103" s="181" t="s">
        <v>140</v>
      </c>
      <c r="B103" s="496" t="s">
        <v>288</v>
      </c>
      <c r="C103" s="499" t="s">
        <v>210</v>
      </c>
      <c r="D103" s="497">
        <v>2011</v>
      </c>
      <c r="E103" s="497">
        <v>2016</v>
      </c>
      <c r="F103" s="497">
        <v>700</v>
      </c>
      <c r="G103" s="497">
        <v>70005</v>
      </c>
      <c r="H103" s="497">
        <v>4400</v>
      </c>
      <c r="I103" s="52">
        <f>L103+M103+N103+P890+O103+P103+246000</f>
        <v>1845000</v>
      </c>
      <c r="J103" s="252">
        <v>123000</v>
      </c>
      <c r="K103" s="252"/>
      <c r="L103" s="214">
        <f>J103+K103</f>
        <v>123000</v>
      </c>
      <c r="M103" s="52">
        <v>369000</v>
      </c>
      <c r="N103" s="52">
        <v>369000</v>
      </c>
      <c r="O103" s="52">
        <v>369000</v>
      </c>
      <c r="P103" s="52">
        <v>369000</v>
      </c>
      <c r="Q103" s="52">
        <v>0</v>
      </c>
      <c r="R103" s="216">
        <f>SUM(L103:P103)</f>
        <v>1599000</v>
      </c>
    </row>
    <row r="104" spans="1:18" ht="12.75">
      <c r="A104" s="181" t="s">
        <v>142</v>
      </c>
      <c r="B104" s="496" t="s">
        <v>294</v>
      </c>
      <c r="C104" s="538" t="s">
        <v>210</v>
      </c>
      <c r="D104" s="537">
        <v>2011</v>
      </c>
      <c r="E104" s="537">
        <v>2012</v>
      </c>
      <c r="F104" s="537">
        <v>900</v>
      </c>
      <c r="G104" s="537">
        <v>90002</v>
      </c>
      <c r="H104" s="537">
        <v>4300</v>
      </c>
      <c r="I104" s="52">
        <v>202000</v>
      </c>
      <c r="J104" s="252"/>
      <c r="K104" s="252">
        <v>2000</v>
      </c>
      <c r="L104" s="214">
        <f>J104+K104</f>
        <v>2000</v>
      </c>
      <c r="M104" s="52">
        <v>200000</v>
      </c>
      <c r="N104" s="52"/>
      <c r="O104" s="52"/>
      <c r="P104" s="52"/>
      <c r="Q104" s="52">
        <v>0</v>
      </c>
      <c r="R104" s="216">
        <f>SUM(L104:P104)</f>
        <v>202000</v>
      </c>
    </row>
    <row r="105" spans="1:18" ht="12.75">
      <c r="A105" s="181" t="s">
        <v>144</v>
      </c>
      <c r="B105" s="496" t="s">
        <v>286</v>
      </c>
      <c r="C105" s="499" t="s">
        <v>210</v>
      </c>
      <c r="D105" s="497">
        <v>2011</v>
      </c>
      <c r="E105" s="497">
        <v>2012</v>
      </c>
      <c r="F105" s="497">
        <v>900</v>
      </c>
      <c r="G105" s="497">
        <v>90003</v>
      </c>
      <c r="H105" s="497">
        <v>4300</v>
      </c>
      <c r="I105" s="52">
        <v>506000</v>
      </c>
      <c r="J105" s="252"/>
      <c r="K105" s="252">
        <v>6000</v>
      </c>
      <c r="L105" s="214">
        <f>J105+K105</f>
        <v>6000</v>
      </c>
      <c r="M105" s="52">
        <v>500000</v>
      </c>
      <c r="N105" s="52"/>
      <c r="O105" s="52"/>
      <c r="P105" s="52"/>
      <c r="Q105" s="52">
        <v>0</v>
      </c>
      <c r="R105" s="216">
        <f>SUM(L105:P105)</f>
        <v>506000</v>
      </c>
    </row>
    <row r="106" spans="1:18" ht="25.5">
      <c r="A106" s="181" t="s">
        <v>145</v>
      </c>
      <c r="B106" s="496" t="s">
        <v>285</v>
      </c>
      <c r="C106" s="499" t="s">
        <v>210</v>
      </c>
      <c r="D106" s="497">
        <v>2011</v>
      </c>
      <c r="E106" s="497">
        <v>2012</v>
      </c>
      <c r="F106" s="497">
        <v>900</v>
      </c>
      <c r="G106" s="497">
        <v>90004</v>
      </c>
      <c r="H106" s="497">
        <v>4300</v>
      </c>
      <c r="I106" s="52">
        <v>220000</v>
      </c>
      <c r="J106" s="252"/>
      <c r="K106" s="252">
        <v>20000</v>
      </c>
      <c r="L106" s="214">
        <f>J106+K106</f>
        <v>20000</v>
      </c>
      <c r="M106" s="52">
        <v>200000</v>
      </c>
      <c r="N106" s="52"/>
      <c r="O106" s="52"/>
      <c r="P106" s="52"/>
      <c r="Q106" s="52">
        <v>0</v>
      </c>
      <c r="R106" s="216">
        <f>SUM(L106:P106)</f>
        <v>220000</v>
      </c>
    </row>
    <row r="107" spans="1:18" ht="36.75" customHeight="1">
      <c r="A107" s="181" t="s">
        <v>217</v>
      </c>
      <c r="B107" s="496" t="s">
        <v>287</v>
      </c>
      <c r="C107" s="499" t="s">
        <v>210</v>
      </c>
      <c r="D107" s="497">
        <v>2011</v>
      </c>
      <c r="E107" s="497">
        <v>2012</v>
      </c>
      <c r="F107" s="497">
        <v>900</v>
      </c>
      <c r="G107" s="497">
        <v>90015</v>
      </c>
      <c r="H107" s="497">
        <v>4270</v>
      </c>
      <c r="I107" s="52">
        <v>254000</v>
      </c>
      <c r="J107" s="252"/>
      <c r="K107" s="252">
        <v>4000</v>
      </c>
      <c r="L107" s="214">
        <f>J107+K107</f>
        <v>4000</v>
      </c>
      <c r="M107" s="52">
        <v>250000</v>
      </c>
      <c r="N107" s="52"/>
      <c r="O107" s="52"/>
      <c r="P107" s="52"/>
      <c r="Q107" s="52">
        <v>0</v>
      </c>
      <c r="R107" s="216">
        <f>SUM(L107:P107)</f>
        <v>254000</v>
      </c>
    </row>
    <row r="108" spans="1:18" ht="12.75">
      <c r="A108" s="89"/>
      <c r="B108" s="89" t="s">
        <v>258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9"/>
    </row>
    <row r="109" spans="1:3" ht="15">
      <c r="A109" s="37"/>
      <c r="B109" s="48"/>
      <c r="C109" s="49"/>
    </row>
    <row r="110" spans="1:3" ht="15">
      <c r="A110" s="37"/>
      <c r="B110" s="50"/>
      <c r="C110" s="49"/>
    </row>
    <row r="111" spans="1:3" ht="15">
      <c r="A111" s="51"/>
      <c r="B111" s="50"/>
      <c r="C111" s="49"/>
    </row>
    <row r="112" spans="1:3" ht="12.75">
      <c r="A112" s="37"/>
      <c r="B112" s="37"/>
      <c r="C112" s="49"/>
    </row>
  </sheetData>
  <sheetProtection/>
  <mergeCells count="57">
    <mergeCell ref="J85:Q85"/>
    <mergeCell ref="R85:R87"/>
    <mergeCell ref="J86:L86"/>
    <mergeCell ref="M86:M87"/>
    <mergeCell ref="N86:N87"/>
    <mergeCell ref="O86:O87"/>
    <mergeCell ref="P86:P87"/>
    <mergeCell ref="A85:A87"/>
    <mergeCell ref="B85:B87"/>
    <mergeCell ref="C85:C87"/>
    <mergeCell ref="D85:E86"/>
    <mergeCell ref="F85:H86"/>
    <mergeCell ref="I85:I87"/>
    <mergeCell ref="A6:R7"/>
    <mergeCell ref="A8:A10"/>
    <mergeCell ref="B8:B10"/>
    <mergeCell ref="C8:C10"/>
    <mergeCell ref="D8:E9"/>
    <mergeCell ref="F8:H9"/>
    <mergeCell ref="I8:I10"/>
    <mergeCell ref="J8:Q8"/>
    <mergeCell ref="R8:R10"/>
    <mergeCell ref="J9:L9"/>
    <mergeCell ref="M9:M10"/>
    <mergeCell ref="N9:N10"/>
    <mergeCell ref="O9:O10"/>
    <mergeCell ref="P9:P10"/>
    <mergeCell ref="F18:H18"/>
    <mergeCell ref="B19:B20"/>
    <mergeCell ref="F19:H19"/>
    <mergeCell ref="F34:H34"/>
    <mergeCell ref="B24:B25"/>
    <mergeCell ref="F24:H24"/>
    <mergeCell ref="B66:B67"/>
    <mergeCell ref="B36:B37"/>
    <mergeCell ref="F36:H36"/>
    <mergeCell ref="B68:B69"/>
    <mergeCell ref="F48:H48"/>
    <mergeCell ref="F51:H51"/>
    <mergeCell ref="B54:B56"/>
    <mergeCell ref="F54:H54"/>
    <mergeCell ref="F58:H58"/>
    <mergeCell ref="F62:H62"/>
    <mergeCell ref="B48:B49"/>
    <mergeCell ref="A43:A45"/>
    <mergeCell ref="B43:B45"/>
    <mergeCell ref="C43:C45"/>
    <mergeCell ref="D43:E44"/>
    <mergeCell ref="F43:H44"/>
    <mergeCell ref="I43:I45"/>
    <mergeCell ref="J43:Q43"/>
    <mergeCell ref="R43:R45"/>
    <mergeCell ref="J44:L44"/>
    <mergeCell ref="M44:M45"/>
    <mergeCell ref="N44:N45"/>
    <mergeCell ref="O44:O45"/>
    <mergeCell ref="P44:P45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2011-09-29T13:26:51Z</cp:lastPrinted>
  <dcterms:created xsi:type="dcterms:W3CDTF">2011-02-22T14:35:52Z</dcterms:created>
  <dcterms:modified xsi:type="dcterms:W3CDTF">2011-09-29T14:03:30Z</dcterms:modified>
  <cp:category/>
  <cp:version/>
  <cp:contentType/>
  <cp:contentStatus/>
</cp:coreProperties>
</file>