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activeTab="3"/>
  </bookViews>
  <sheets>
    <sheet name="spł poż" sheetId="1" r:id="rId1"/>
    <sheet name="spł obligacji" sheetId="2" r:id="rId2"/>
    <sheet name="Arkusz5" sheetId="3" r:id="rId3"/>
    <sheet name="WPF" sheetId="4" r:id="rId4"/>
    <sheet name="Prognoza długu" sheetId="5" r:id="rId5"/>
    <sheet name="Wykaz przedsięwzięć" sheetId="6" r:id="rId6"/>
  </sheets>
  <definedNames>
    <definedName name="_xlnm.Print_Area" localSheetId="4">'Prognoza długu'!$I$16</definedName>
  </definedNames>
  <calcPr fullCalcOnLoad="1"/>
</workbook>
</file>

<file path=xl/comments4.xml><?xml version="1.0" encoding="utf-8"?>
<comments xmlns="http://schemas.openxmlformats.org/spreadsheetml/2006/main">
  <authors>
    <author>UG</author>
  </authors>
  <commentList>
    <comment ref="B78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  <comment ref="A78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<sst xmlns="http://schemas.openxmlformats.org/spreadsheetml/2006/main" count="607" uniqueCount="278">
  <si>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</si>
  <si>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</si>
  <si>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</si>
  <si>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</si>
  <si>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</si>
  <si>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</si>
  <si>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</si>
  <si>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</si>
  <si>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</si>
  <si>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</si>
  <si>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</si>
  <si>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</si>
  <si>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</si>
  <si>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</si>
  <si>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</si>
  <si>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</si>
  <si>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</si>
  <si>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</si>
  <si>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</si>
  <si>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</si>
  <si>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</si>
  <si>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</si>
  <si>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</si>
  <si>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</si>
  <si>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</si>
  <si>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</si>
  <si>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</si>
  <si>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</si>
  <si>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</si>
  <si>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</si>
  <si>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</si>
  <si>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</si>
  <si>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</si>
  <si>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</si>
  <si>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</si>
  <si>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</si>
  <si>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</si>
  <si>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</si>
  <si>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</si>
  <si>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</si>
  <si>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</si>
  <si>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</si>
  <si>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</si>
  <si>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</si>
  <si>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</si>
  <si>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</si>
  <si>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</si>
  <si>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</si>
  <si>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Załącznik Nr 1</t>
  </si>
  <si>
    <t>Rady Gminy Lesznowola</t>
  </si>
  <si>
    <t>WIELOLETNIA  PROGNOZA  FINANSOWA  GMINY  LESZNOWOLA  NA LATA  2011 - 2021</t>
  </si>
  <si>
    <t>WIELOLETNIA  PROGNOZA  FINANSOWA  GMINY  LESZNOWOLA  NA LATA  2011 - 2019</t>
  </si>
  <si>
    <t>WIELOLETNIA  PROGNOZA  FINANSOWA  GMINY  LESZNOWOLA  NA LATA  2011 - 2020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</si>
  <si>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</si>
  <si>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</si>
  <si>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</si>
  <si>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</si>
  <si>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</si>
  <si>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</si>
  <si>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</si>
  <si>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</si>
  <si>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</si>
  <si>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</si>
  <si>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</si>
  <si>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</si>
  <si>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L A T A :</t>
  </si>
  <si>
    <t>WYKONANIE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</si>
  <si>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</si>
  <si>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</si>
  <si>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</si>
  <si>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</si>
  <si>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</si>
  <si>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</si>
  <si>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</si>
  <si>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</si>
  <si>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</si>
  <si>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</si>
  <si>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</si>
  <si>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</si>
  <si>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</si>
  <si>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</si>
  <si>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</si>
  <si>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</si>
  <si>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</si>
  <si>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</si>
  <si>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</si>
  <si>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</si>
  <si>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</si>
  <si>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</si>
  <si>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</si>
  <si>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</si>
  <si>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</si>
  <si>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</si>
  <si>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</si>
  <si>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</si>
  <si>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</si>
  <si>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</si>
  <si>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</si>
  <si>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</si>
  <si>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</si>
  <si>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</si>
  <si>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</si>
  <si>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</si>
  <si>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</si>
  <si>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</si>
  <si>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</si>
  <si>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Kwota zobowiązań związku współtworzonego przez jst przypadająca do spłaty w danym roku budżetowym podlegająca doliczeniu zgodnie z art.. 244 Ustawy o finansach publicznych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</si>
  <si>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</si>
  <si>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</si>
  <si>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</si>
  <si>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</si>
  <si>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</si>
  <si>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</si>
  <si>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</si>
  <si>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</si>
  <si>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</si>
  <si>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 xml:space="preserve">PROGNOZA </t>
  </si>
  <si>
    <t>Kwota długu, w tym:</t>
  </si>
  <si>
    <t>Łączna kwota wyłączeń z art. 243 ust 3 pkt 1 ufp oraz z art. 170 ust 3 sufp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</si>
  <si>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</si>
  <si>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</si>
  <si>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</si>
  <si>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</si>
  <si>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</si>
  <si>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</si>
  <si>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</si>
  <si>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</si>
  <si>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</si>
  <si>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</si>
  <si>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</si>
  <si>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</si>
  <si>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</si>
  <si>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</si>
  <si>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</si>
  <si>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</si>
  <si>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</si>
  <si>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</si>
  <si>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</si>
  <si>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</si>
  <si>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</si>
  <si>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</si>
  <si>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</si>
  <si>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</si>
  <si>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</si>
  <si>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</si>
  <si>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</si>
  <si>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</si>
  <si>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</si>
  <si>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</si>
  <si>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</si>
  <si>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Klasyfikacja budż</t>
  </si>
  <si>
    <t>Łączne nakłady finansowe</t>
  </si>
  <si>
    <t>limity wydatków w poszczególnych latach (wszystkie lata)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</si>
  <si>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</si>
  <si>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</si>
  <si>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</si>
  <si>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</si>
  <si>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</si>
  <si>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</si>
  <si>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</si>
  <si>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</si>
  <si>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</si>
  <si>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</si>
  <si>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</si>
  <si>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</si>
  <si>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</si>
  <si>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</si>
  <si>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</si>
  <si>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</si>
  <si>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</si>
  <si>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</si>
  <si>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</si>
  <si>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</si>
  <si>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</si>
  <si>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</si>
  <si>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</si>
  <si>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</si>
  <si>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</si>
  <si>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1.2.1</t>
  </si>
  <si>
    <t xml:space="preserve">Łazy - Aktualizacja projektu i budowa świetlicy </t>
  </si>
  <si>
    <t>UG - RDM</t>
  </si>
  <si>
    <t>1.2.2</t>
  </si>
  <si>
    <t xml:space="preserve">Magdalenka - Projekt i budowa świetlicy </t>
  </si>
  <si>
    <t>1.2.3</t>
  </si>
  <si>
    <t xml:space="preserve">Nowa Iwiczna - Projekt i budowa obiektu integracji społecznej wraz z zagospodarowaniem terenu </t>
  </si>
  <si>
    <t>1.2.4</t>
  </si>
  <si>
    <t xml:space="preserve">Podolszyn - Budowa świetlicy </t>
  </si>
  <si>
    <t>1.3</t>
  </si>
  <si>
    <t>Program Rozwoju Oświaty i Sportu</t>
  </si>
  <si>
    <t>1.3.1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</si>
  <si>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</si>
  <si>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</si>
  <si>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</si>
  <si>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</si>
  <si>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</si>
  <si>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</si>
  <si>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</si>
  <si>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60016</t>
  </si>
  <si>
    <t>2.1.2</t>
  </si>
  <si>
    <t>Warszawianka  - Budowa ciągu pieszo-jezdnego od ul. Rejonowej (vis a vis ul. Brzozowej)</t>
  </si>
  <si>
    <t>2.1.3</t>
  </si>
  <si>
    <t>Mysiadło i Nowa Iwiczna - Budowa odwodnienia</t>
  </si>
  <si>
    <t>2.1.4</t>
  </si>
  <si>
    <t xml:space="preserve">Wólka Kosowska - Projekt i budowa budynków socjalnych wraz z urządzeniem terenów rekreacyjno-sportowych 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</si>
  <si>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</si>
  <si>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</si>
  <si>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</si>
  <si>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</si>
  <si>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>Prowadzenie obsługi prawnej Urzędu Gminy</t>
  </si>
  <si>
    <t>UG - ZP</t>
  </si>
  <si>
    <t xml:space="preserve">Konserwacja dźwigu osobowego </t>
  </si>
  <si>
    <t>UG - RGG</t>
  </si>
  <si>
    <t xml:space="preserve">Dzierżawa gruntu o pow. 1.000 m2 pod plac zabaw w Marysinie </t>
  </si>
  <si>
    <t>Plan przed zmianami</t>
  </si>
  <si>
    <t>Zmiany Uchwałą Rady Gminy</t>
  </si>
  <si>
    <t>Plan po zmianach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</si>
  <si>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</si>
  <si>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</si>
  <si>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</si>
  <si>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</si>
  <si>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</si>
  <si>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</si>
  <si>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</si>
  <si>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</si>
  <si>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</si>
  <si>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</si>
  <si>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WIELOLETNIA  PROGNOZA  FINANSOWA  GMINY  LESZNOWOLA  NA LATA  2011 - 2021- po zmianach</t>
  </si>
  <si>
    <t>PROGNOZA DŁUGU GMINY LESZNOWOLA NA LATA 2011 - 2021 - po zmianach</t>
  </si>
  <si>
    <t>Relacja z art.170 ustawy o finansach publicznych z dnia 30 czerwca 2005r.                    (max 60% ) 13/1</t>
  </si>
  <si>
    <t>Relacja z art.169 ustawy o finansach publicznych z dnia 30 czerwca 2005r.                    (max 15% )  7/1</t>
  </si>
  <si>
    <t>WYKAZ PRZEDSIĘWZIĘĆ GMINY LESZNOWOLA  NA LATA 2011 -2015 - po zmianach</t>
  </si>
  <si>
    <t>SYMULACJA
spłaty oraz  kosztówpożyczki planowanego na 2011 rok</t>
  </si>
  <si>
    <t>SYMULACJA
spłaty oraz  kosztów obligacji planowanych na 2011 rok</t>
  </si>
  <si>
    <t>stare pożyczki</t>
  </si>
  <si>
    <t>RAZEM</t>
  </si>
  <si>
    <t xml:space="preserve">kapit </t>
  </si>
  <si>
    <t>Odsetki</t>
  </si>
  <si>
    <t>Obigacje wyemitowane do 2010r</t>
  </si>
  <si>
    <t xml:space="preserve">Kapitał </t>
  </si>
  <si>
    <t>spłaty oraz  kosztów pożyczki  planowanego na 2012 rok</t>
  </si>
  <si>
    <t xml:space="preserve">Mysiadło - Projekt i budowa "Centrum Edukacji i Sportu" </t>
  </si>
  <si>
    <t>łączna kwota wyłączeń z art. 243 ust.3 pkt 1 Ustawy o finansach publicznych z dnia 27 sierpnia 2009r. oraz z art. 169 ust. 3 Ustawy o finansach publicznych  z dnia 30 czerwca 2005r. przypadająca na dany rok budżetowy</t>
  </si>
  <si>
    <t>Kwota wyłączeń z art. 243 us t3 pkt 1 ufp oraz z art.169 ust 3 sufp przypadająca na dany rok budżetowy</t>
  </si>
  <si>
    <t>Mysiadło- Projekt i adaptacja budynku przy ul. Osiedlowej - filia GOPS</t>
  </si>
  <si>
    <t xml:space="preserve">okres realizacji       </t>
  </si>
  <si>
    <t>2.1.5</t>
  </si>
  <si>
    <t xml:space="preserve">Lesznowola-Projekt budowy i odwodnienia parkingu przy Zespole Szkół Publicznych </t>
  </si>
  <si>
    <t xml:space="preserve">Do Uchwały Nr </t>
  </si>
  <si>
    <t>1.2.5</t>
  </si>
  <si>
    <t>Mysiadło - Projekt oświetlenia ulic: Aronii, Porzeczkowej i Agrestowej</t>
  </si>
  <si>
    <t>Do Uchwały Nr  59/VII/2011</t>
  </si>
  <si>
    <t>z dnia  30 czerwca 2011r.</t>
  </si>
  <si>
    <t>1.2.6</t>
  </si>
  <si>
    <t>1.2.7</t>
  </si>
  <si>
    <t xml:space="preserve">Razem </t>
  </si>
  <si>
    <t>Programy projekty lub zadania        ( razem)</t>
  </si>
  <si>
    <t>1.3.2</t>
  </si>
  <si>
    <t>1.3.3</t>
  </si>
  <si>
    <t xml:space="preserve">Wykonanie rocznych i pięcioletnich przeglądów tech obiektów budowlanych </t>
  </si>
  <si>
    <t xml:space="preserve">Wykonanie przeglądów serwisowych przepompowni wód deszczowych zamontowanych na terenie Gminy </t>
  </si>
  <si>
    <t>Dzierżawa gruntu o pow. 0,3000 ha położonej w pasie drogi publicznej gminnej ul. Torowej w N. Iwicznej - parking dla pojazdów</t>
  </si>
  <si>
    <t xml:space="preserve">Asysta techniczna przy eksploatacji Komputer Systemu Rejest Stanu Cywilnego </t>
  </si>
  <si>
    <t>1.1.3</t>
  </si>
  <si>
    <t>1.1.4</t>
  </si>
  <si>
    <t>Mysiadło- Proj budowy zbiornika retencyjnego (sztuczny zbiornik wód opadowych)</t>
  </si>
  <si>
    <t xml:space="preserve">Dzierżawa niezabudowanej nieruchomości (skład masy upadłości "Tomasz Maj Gospodarstwo Ogrodnicze EKO Mysiadło") położonej w obrębie KPGO Mysiadło </t>
  </si>
  <si>
    <t>1) 2016r - 246.000,-zł</t>
  </si>
  <si>
    <t>1.2.8</t>
  </si>
  <si>
    <t>1.2.9</t>
  </si>
  <si>
    <t>Mysiadło - Projekt budowy oświetlenia ulicy nr ewid. dz. 20/17, 31/6 i 22                             (pkt świetlne)</t>
  </si>
  <si>
    <t>Łazy II - Projekt budowy oświetlenia na drodze gminnej dz. nr. 44/72 i 46 (przy ul. Przyszłości-pkt świetlne)</t>
  </si>
  <si>
    <t xml:space="preserve">z dnia </t>
  </si>
  <si>
    <t>Lesznowola - Projekt  budowy chodnika  ul. Okrężna od ul. Słonecznej do dz. nr. 272/2</t>
  </si>
  <si>
    <t>2.1.6</t>
  </si>
  <si>
    <t xml:space="preserve">Nowa Wola - Remont ul. Plonowej I etap </t>
  </si>
  <si>
    <t>Kolonia Lesznowola - Projekt budowy  ul. Krótkiej</t>
  </si>
  <si>
    <r>
      <t xml:space="preserve">Dzierżawa nieruchomości o nr. ew. 36/16   położonej w Nowej Iwicznej  </t>
    </r>
    <r>
      <rPr>
        <vertAlign val="superscript"/>
        <sz val="11"/>
        <rFont val="Cambria"/>
        <family val="1"/>
      </rPr>
      <t>1)</t>
    </r>
  </si>
  <si>
    <t>Lesznowola - Projekt i budowa  ul. Okrężnej oraz projekty branżowe wraz z wytyczeniem geodezyjnym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</si>
</sst>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1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b/>
      <sz val="20"/>
      <name val="Cambria"/>
      <family val="1"/>
    </font>
    <font>
      <sz val="9"/>
      <name val="Cambria"/>
      <family val="1"/>
    </font>
    <font>
      <b/>
      <sz val="16"/>
      <name val="Cambria"/>
      <family val="1"/>
    </font>
    <font>
      <b/>
      <sz val="9"/>
      <name val="Cambria"/>
      <family val="1"/>
    </font>
    <font>
      <i/>
      <sz val="10"/>
      <name val="Cambria"/>
      <family val="1"/>
    </font>
    <font>
      <i/>
      <sz val="12"/>
      <name val="Cambria"/>
      <family val="1"/>
    </font>
    <font>
      <b/>
      <i/>
      <sz val="10"/>
      <name val="Cambria"/>
      <family val="1"/>
    </font>
    <font>
      <b/>
      <i/>
      <sz val="12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b/>
      <sz val="6"/>
      <name val="Cambria"/>
      <family val="1"/>
    </font>
    <font>
      <i/>
      <sz val="11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/>
      <right/>
      <top style="hair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/>
      <right style="thin"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4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" fontId="21" fillId="0" borderId="16" xfId="0" applyNumberFormat="1" applyFont="1" applyBorder="1" applyAlignment="1">
      <alignment horizontal="center"/>
    </xf>
    <xf numFmtId="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0" fontId="0" fillId="0" borderId="0" xfId="0" applyFill="1" applyAlignment="1">
      <alignment/>
    </xf>
    <xf numFmtId="164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11" xfId="0" applyNumberFormat="1" applyFont="1" applyBorder="1" applyAlignment="1">
      <alignment horizontal="center" vertical="top" wrapText="1"/>
    </xf>
    <xf numFmtId="3" fontId="21" fillId="0" borderId="15" xfId="0" applyNumberFormat="1" applyFont="1" applyBorder="1" applyAlignment="1">
      <alignment horizontal="center" vertical="top" wrapText="1"/>
    </xf>
    <xf numFmtId="3" fontId="21" fillId="0" borderId="14" xfId="0" applyNumberFormat="1" applyFont="1" applyBorder="1" applyAlignment="1">
      <alignment/>
    </xf>
    <xf numFmtId="0" fontId="18" fillId="0" borderId="0" xfId="0" applyFont="1" applyFill="1" applyAlignment="1">
      <alignment/>
    </xf>
    <xf numFmtId="164" fontId="21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top" wrapText="1"/>
    </xf>
    <xf numFmtId="3" fontId="21" fillId="0" borderId="16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/>
    </xf>
    <xf numFmtId="3" fontId="0" fillId="0" borderId="0" xfId="0" applyNumberFormat="1" applyAlignment="1">
      <alignment wrapText="1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0" fontId="25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31" fillId="0" borderId="14" xfId="0" applyNumberFormat="1" applyFont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31" fillId="0" borderId="19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left" vertical="center" wrapText="1"/>
    </xf>
    <xf numFmtId="3" fontId="31" fillId="0" borderId="19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3" fontId="32" fillId="0" borderId="14" xfId="0" applyNumberFormat="1" applyFont="1" applyBorder="1" applyAlignment="1">
      <alignment horizontal="center" vertical="center"/>
    </xf>
    <xf numFmtId="3" fontId="32" fillId="0" borderId="19" xfId="0" applyNumberFormat="1" applyFont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3" fillId="24" borderId="0" xfId="0" applyFont="1" applyFill="1" applyBorder="1" applyAlignment="1">
      <alignment vertical="center" wrapText="1"/>
    </xf>
    <xf numFmtId="0" fontId="34" fillId="24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6" fillId="24" borderId="0" xfId="0" applyFont="1" applyFill="1" applyBorder="1" applyAlignment="1">
      <alignment vertical="center" wrapText="1"/>
    </xf>
    <xf numFmtId="0" fontId="33" fillId="24" borderId="0" xfId="0" applyFont="1" applyFill="1" applyBorder="1" applyAlignment="1">
      <alignment vertical="top" wrapText="1"/>
    </xf>
    <xf numFmtId="0" fontId="36" fillId="24" borderId="0" xfId="0" applyFont="1" applyFill="1" applyBorder="1" applyAlignment="1">
      <alignment vertical="top"/>
    </xf>
    <xf numFmtId="0" fontId="37" fillId="24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8" fillId="24" borderId="0" xfId="0" applyFont="1" applyFill="1" applyBorder="1" applyAlignment="1">
      <alignment vertical="top" wrapText="1"/>
    </xf>
    <xf numFmtId="0" fontId="31" fillId="24" borderId="0" xfId="0" applyFont="1" applyFill="1" applyBorder="1" applyAlignment="1">
      <alignment vertical="top"/>
    </xf>
    <xf numFmtId="0" fontId="32" fillId="24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9" fillId="4" borderId="0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/>
    </xf>
    <xf numFmtId="0" fontId="39" fillId="4" borderId="20" xfId="0" applyFont="1" applyFill="1" applyBorder="1" applyAlignment="1">
      <alignment horizontal="center" vertical="center" wrapText="1"/>
    </xf>
    <xf numFmtId="0" fontId="31" fillId="4" borderId="20" xfId="0" applyFont="1" applyFill="1" applyBorder="1" applyAlignment="1">
      <alignment/>
    </xf>
    <xf numFmtId="0" fontId="31" fillId="0" borderId="21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3" fontId="31" fillId="24" borderId="14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3" fontId="31" fillId="0" borderId="0" xfId="0" applyNumberFormat="1" applyFont="1" applyAlignment="1">
      <alignment wrapText="1"/>
    </xf>
    <xf numFmtId="3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33" fillId="0" borderId="22" xfId="0" applyNumberFormat="1" applyFont="1" applyFill="1" applyBorder="1" applyAlignment="1">
      <alignment horizontal="center" vertical="center"/>
    </xf>
    <xf numFmtId="3" fontId="33" fillId="0" borderId="23" xfId="0" applyNumberFormat="1" applyFont="1" applyFill="1" applyBorder="1" applyAlignment="1">
      <alignment horizontal="center" vertical="center"/>
    </xf>
    <xf numFmtId="3" fontId="33" fillId="0" borderId="24" xfId="0" applyNumberFormat="1" applyFont="1" applyFill="1" applyBorder="1" applyAlignment="1">
      <alignment horizontal="center" vertical="center"/>
    </xf>
    <xf numFmtId="3" fontId="33" fillId="0" borderId="25" xfId="0" applyNumberFormat="1" applyFont="1" applyFill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 wrapText="1"/>
    </xf>
    <xf numFmtId="3" fontId="36" fillId="0" borderId="14" xfId="0" applyNumberFormat="1" applyFont="1" applyBorder="1" applyAlignment="1">
      <alignment horizontal="center" vertical="center"/>
    </xf>
    <xf numFmtId="3" fontId="36" fillId="0" borderId="14" xfId="0" applyNumberFormat="1" applyFont="1" applyFill="1" applyBorder="1" applyAlignment="1">
      <alignment horizontal="center" vertical="center"/>
    </xf>
    <xf numFmtId="3" fontId="36" fillId="0" borderId="21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horizontal="left" vertical="center" wrapText="1"/>
    </xf>
    <xf numFmtId="3" fontId="36" fillId="0" borderId="21" xfId="0" applyNumberFormat="1" applyFont="1" applyFill="1" applyBorder="1" applyAlignment="1">
      <alignment horizontal="center" vertical="center"/>
    </xf>
    <xf numFmtId="3" fontId="36" fillId="0" borderId="19" xfId="0" applyNumberFormat="1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3" fontId="33" fillId="0" borderId="21" xfId="0" applyNumberFormat="1" applyFont="1" applyFill="1" applyBorder="1" applyAlignment="1">
      <alignment horizontal="center" vertical="center"/>
    </xf>
    <xf numFmtId="3" fontId="33" fillId="0" borderId="19" xfId="0" applyNumberFormat="1" applyFont="1" applyFill="1" applyBorder="1" applyAlignment="1">
      <alignment horizontal="center" vertical="center"/>
    </xf>
    <xf numFmtId="3" fontId="36" fillId="0" borderId="21" xfId="0" applyNumberFormat="1" applyFont="1" applyBorder="1" applyAlignment="1">
      <alignment horizontal="center" vertical="center" wrapText="1"/>
    </xf>
    <xf numFmtId="3" fontId="36" fillId="0" borderId="19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 wrapText="1"/>
    </xf>
    <xf numFmtId="3" fontId="33" fillId="0" borderId="14" xfId="0" applyNumberFormat="1" applyFont="1" applyFill="1" applyBorder="1" applyAlignment="1">
      <alignment horizontal="center" vertical="center" wrapText="1"/>
    </xf>
    <xf numFmtId="3" fontId="33" fillId="0" borderId="21" xfId="0" applyNumberFormat="1" applyFont="1" applyFill="1" applyBorder="1" applyAlignment="1">
      <alignment horizontal="center" vertical="center" wrapText="1"/>
    </xf>
    <xf numFmtId="3" fontId="33" fillId="0" borderId="19" xfId="0" applyNumberFormat="1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textRotation="90"/>
    </xf>
    <xf numFmtId="0" fontId="36" fillId="0" borderId="13" xfId="0" applyFont="1" applyBorder="1" applyAlignment="1">
      <alignment horizontal="left" vertical="center" wrapText="1"/>
    </xf>
    <xf numFmtId="3" fontId="36" fillId="0" borderId="14" xfId="0" applyNumberFormat="1" applyFont="1" applyFill="1" applyBorder="1" applyAlignment="1">
      <alignment horizontal="center" vertical="center" wrapText="1"/>
    </xf>
    <xf numFmtId="3" fontId="36" fillId="0" borderId="21" xfId="0" applyNumberFormat="1" applyFont="1" applyFill="1" applyBorder="1" applyAlignment="1">
      <alignment horizontal="center" vertical="center" wrapText="1"/>
    </xf>
    <xf numFmtId="3" fontId="36" fillId="0" borderId="19" xfId="0" applyNumberFormat="1" applyFont="1" applyFill="1" applyBorder="1" applyAlignment="1">
      <alignment horizontal="center" vertical="center" wrapText="1"/>
    </xf>
    <xf numFmtId="3" fontId="33" fillId="0" borderId="21" xfId="0" applyNumberFormat="1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 wrapText="1"/>
    </xf>
    <xf numFmtId="3" fontId="22" fillId="0" borderId="28" xfId="0" applyNumberFormat="1" applyFont="1" applyBorder="1" applyAlignment="1">
      <alignment horizontal="center" vertical="center" wrapText="1"/>
    </xf>
    <xf numFmtId="3" fontId="22" fillId="0" borderId="28" xfId="0" applyNumberFormat="1" applyFont="1" applyBorder="1" applyAlignment="1">
      <alignment horizontal="center" vertical="center"/>
    </xf>
    <xf numFmtId="3" fontId="22" fillId="0" borderId="28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33" fillId="0" borderId="30" xfId="0" applyNumberFormat="1" applyFont="1" applyBorder="1" applyAlignment="1">
      <alignment horizontal="center" vertical="center"/>
    </xf>
    <xf numFmtId="3" fontId="33" fillId="0" borderId="31" xfId="0" applyNumberFormat="1" applyFont="1" applyBorder="1" applyAlignment="1">
      <alignment horizontal="center" vertical="center"/>
    </xf>
    <xf numFmtId="0" fontId="33" fillId="22" borderId="26" xfId="0" applyFont="1" applyFill="1" applyBorder="1" applyAlignment="1">
      <alignment horizontal="center" vertical="center"/>
    </xf>
    <xf numFmtId="3" fontId="33" fillId="22" borderId="14" xfId="0" applyNumberFormat="1" applyFont="1" applyFill="1" applyBorder="1" applyAlignment="1">
      <alignment horizontal="center" vertical="center"/>
    </xf>
    <xf numFmtId="3" fontId="33" fillId="22" borderId="14" xfId="0" applyNumberFormat="1" applyFont="1" applyFill="1" applyBorder="1" applyAlignment="1">
      <alignment horizontal="center" vertical="center" wrapText="1"/>
    </xf>
    <xf numFmtId="3" fontId="33" fillId="22" borderId="21" xfId="0" applyNumberFormat="1" applyFont="1" applyFill="1" applyBorder="1" applyAlignment="1">
      <alignment horizontal="center" vertical="center"/>
    </xf>
    <xf numFmtId="3" fontId="33" fillId="22" borderId="19" xfId="0" applyNumberFormat="1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4" fontId="33" fillId="0" borderId="14" xfId="0" applyNumberFormat="1" applyFont="1" applyBorder="1" applyAlignment="1">
      <alignment horizontal="center" vertical="center" wrapText="1"/>
    </xf>
    <xf numFmtId="4" fontId="33" fillId="0" borderId="19" xfId="0" applyNumberFormat="1" applyFont="1" applyBorder="1" applyAlignment="1">
      <alignment horizontal="center" vertical="center" wrapText="1"/>
    </xf>
    <xf numFmtId="4" fontId="33" fillId="0" borderId="16" xfId="0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165" fontId="33" fillId="24" borderId="16" xfId="0" applyNumberFormat="1" applyFont="1" applyFill="1" applyBorder="1" applyAlignment="1">
      <alignment horizontal="center" vertical="center" wrapText="1"/>
    </xf>
    <xf numFmtId="165" fontId="33" fillId="0" borderId="14" xfId="0" applyNumberFormat="1" applyFont="1" applyBorder="1" applyAlignment="1">
      <alignment horizontal="center" vertical="center" wrapText="1"/>
    </xf>
    <xf numFmtId="3" fontId="33" fillId="0" borderId="16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3" fontId="36" fillId="24" borderId="14" xfId="0" applyNumberFormat="1" applyFont="1" applyFill="1" applyBorder="1" applyAlignment="1">
      <alignment horizontal="center" vertical="center" wrapText="1"/>
    </xf>
    <xf numFmtId="3" fontId="36" fillId="0" borderId="16" xfId="0" applyNumberFormat="1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/>
    </xf>
    <xf numFmtId="3" fontId="33" fillId="0" borderId="33" xfId="0" applyNumberFormat="1" applyFont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6" fillId="0" borderId="18" xfId="0" applyFont="1" applyBorder="1" applyAlignment="1">
      <alignment/>
    </xf>
    <xf numFmtId="0" fontId="36" fillId="0" borderId="0" xfId="0" applyFont="1" applyAlignment="1">
      <alignment wrapText="1"/>
    </xf>
    <xf numFmtId="3" fontId="36" fillId="0" borderId="0" xfId="0" applyNumberFormat="1" applyFont="1" applyAlignment="1">
      <alignment wrapText="1"/>
    </xf>
    <xf numFmtId="3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0" borderId="34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center" vertical="center"/>
    </xf>
    <xf numFmtId="0" fontId="41" fillId="24" borderId="0" xfId="0" applyFont="1" applyFill="1" applyBorder="1" applyAlignment="1">
      <alignment horizontal="right" vertical="top" wrapText="1"/>
    </xf>
    <xf numFmtId="0" fontId="31" fillId="24" borderId="0" xfId="0" applyFont="1" applyFill="1" applyBorder="1" applyAlignment="1">
      <alignment horizontal="right" vertical="top" wrapText="1"/>
    </xf>
    <xf numFmtId="0" fontId="33" fillId="22" borderId="33" xfId="0" applyNumberFormat="1" applyFont="1" applyFill="1" applyBorder="1" applyAlignment="1">
      <alignment horizontal="center" vertical="center"/>
    </xf>
    <xf numFmtId="3" fontId="33" fillId="22" borderId="33" xfId="0" applyNumberFormat="1" applyFont="1" applyFill="1" applyBorder="1" applyAlignment="1">
      <alignment horizontal="center" vertical="center" wrapText="1"/>
    </xf>
    <xf numFmtId="0" fontId="33" fillId="22" borderId="36" xfId="0" applyNumberFormat="1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23" xfId="0" applyFont="1" applyBorder="1" applyAlignment="1">
      <alignment horizontal="left" vertical="center" wrapText="1"/>
    </xf>
    <xf numFmtId="3" fontId="32" fillId="0" borderId="23" xfId="0" applyNumberFormat="1" applyFont="1" applyBorder="1" applyAlignment="1">
      <alignment horizontal="center" vertical="center"/>
    </xf>
    <xf numFmtId="3" fontId="32" fillId="0" borderId="25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22" borderId="13" xfId="0" applyFont="1" applyFill="1" applyBorder="1" applyAlignment="1">
      <alignment horizontal="center" vertical="center"/>
    </xf>
    <xf numFmtId="0" fontId="31" fillId="22" borderId="14" xfId="0" applyFont="1" applyFill="1" applyBorder="1" applyAlignment="1">
      <alignment horizontal="left" vertical="center" wrapText="1"/>
    </xf>
    <xf numFmtId="3" fontId="31" fillId="22" borderId="14" xfId="0" applyNumberFormat="1" applyFont="1" applyFill="1" applyBorder="1" applyAlignment="1">
      <alignment horizontal="center" vertical="center"/>
    </xf>
    <xf numFmtId="165" fontId="31" fillId="22" borderId="14" xfId="0" applyNumberFormat="1" applyFont="1" applyFill="1" applyBorder="1" applyAlignment="1">
      <alignment horizontal="center" vertical="center"/>
    </xf>
    <xf numFmtId="165" fontId="31" fillId="22" borderId="19" xfId="0" applyNumberFormat="1" applyFont="1" applyFill="1" applyBorder="1" applyAlignment="1">
      <alignment horizontal="center" vertical="center"/>
    </xf>
    <xf numFmtId="0" fontId="31" fillId="22" borderId="21" xfId="0" applyFont="1" applyFill="1" applyBorder="1" applyAlignment="1">
      <alignment horizontal="left" vertical="center" wrapText="1"/>
    </xf>
    <xf numFmtId="0" fontId="32" fillId="22" borderId="14" xfId="0" applyFont="1" applyFill="1" applyBorder="1" applyAlignment="1">
      <alignment horizontal="left" vertical="center" wrapText="1"/>
    </xf>
    <xf numFmtId="4" fontId="31" fillId="0" borderId="14" xfId="0" applyNumberFormat="1" applyFont="1" applyBorder="1" applyAlignment="1">
      <alignment horizontal="center" vertical="center"/>
    </xf>
    <xf numFmtId="4" fontId="31" fillId="0" borderId="19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left" vertical="center" wrapText="1"/>
    </xf>
    <xf numFmtId="3" fontId="42" fillId="0" borderId="14" xfId="0" applyNumberFormat="1" applyFont="1" applyBorder="1" applyAlignment="1">
      <alignment horizontal="center" vertical="center"/>
    </xf>
    <xf numFmtId="3" fontId="40" fillId="0" borderId="14" xfId="0" applyNumberFormat="1" applyFont="1" applyBorder="1" applyAlignment="1">
      <alignment horizontal="center" vertical="center"/>
    </xf>
    <xf numFmtId="0" fontId="31" fillId="22" borderId="32" xfId="0" applyFont="1" applyFill="1" applyBorder="1" applyAlignment="1">
      <alignment horizontal="center" vertical="center"/>
    </xf>
    <xf numFmtId="0" fontId="31" fillId="22" borderId="33" xfId="0" applyFont="1" applyFill="1" applyBorder="1" applyAlignment="1">
      <alignment horizontal="left" vertical="center" wrapText="1"/>
    </xf>
    <xf numFmtId="4" fontId="31" fillId="22" borderId="33" xfId="0" applyNumberFormat="1" applyFont="1" applyFill="1" applyBorder="1" applyAlignment="1">
      <alignment horizontal="center" vertical="center"/>
    </xf>
    <xf numFmtId="4" fontId="31" fillId="22" borderId="36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vertical="top" wrapText="1"/>
    </xf>
    <xf numFmtId="0" fontId="34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4" borderId="38" xfId="0" applyFont="1" applyFill="1" applyBorder="1" applyAlignment="1">
      <alignment horizontal="center" vertical="center"/>
    </xf>
    <xf numFmtId="0" fontId="33" fillId="4" borderId="39" xfId="0" applyFont="1" applyFill="1" applyBorder="1" applyAlignment="1">
      <alignment horizontal="left" vertical="center" wrapText="1"/>
    </xf>
    <xf numFmtId="0" fontId="36" fillId="4" borderId="40" xfId="0" applyFont="1" applyFill="1" applyBorder="1" applyAlignment="1">
      <alignment horizontal="center" vertical="center" wrapText="1"/>
    </xf>
    <xf numFmtId="3" fontId="33" fillId="4" borderId="40" xfId="0" applyNumberFormat="1" applyFont="1" applyFill="1" applyBorder="1" applyAlignment="1">
      <alignment horizontal="center" vertical="center" wrapText="1"/>
    </xf>
    <xf numFmtId="3" fontId="33" fillId="25" borderId="40" xfId="0" applyNumberFormat="1" applyFont="1" applyFill="1" applyBorder="1" applyAlignment="1">
      <alignment horizontal="center" vertical="center" wrapText="1"/>
    </xf>
    <xf numFmtId="3" fontId="32" fillId="4" borderId="40" xfId="0" applyNumberFormat="1" applyFont="1" applyFill="1" applyBorder="1" applyAlignment="1">
      <alignment horizontal="center" vertical="center" wrapText="1"/>
    </xf>
    <xf numFmtId="0" fontId="33" fillId="4" borderId="40" xfId="0" applyFont="1" applyFill="1" applyBorder="1" applyAlignment="1">
      <alignment horizontal="center" vertical="center" wrapText="1"/>
    </xf>
    <xf numFmtId="3" fontId="33" fillId="4" borderId="41" xfId="0" applyNumberFormat="1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34" xfId="0" applyFont="1" applyBorder="1" applyAlignment="1">
      <alignment horizontal="left" vertical="center" wrapText="1"/>
    </xf>
    <xf numFmtId="3" fontId="43" fillId="0" borderId="14" xfId="0" applyNumberFormat="1" applyFont="1" applyBorder="1" applyAlignment="1">
      <alignment horizontal="center" vertical="center" wrapText="1"/>
    </xf>
    <xf numFmtId="3" fontId="43" fillId="26" borderId="14" xfId="0" applyNumberFormat="1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3" fontId="43" fillId="0" borderId="19" xfId="0" applyNumberFormat="1" applyFont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33" fillId="4" borderId="34" xfId="0" applyFont="1" applyFill="1" applyBorder="1" applyAlignment="1">
      <alignment horizontal="left" vertical="center" wrapText="1"/>
    </xf>
    <xf numFmtId="0" fontId="36" fillId="4" borderId="14" xfId="0" applyFont="1" applyFill="1" applyBorder="1" applyAlignment="1">
      <alignment horizontal="center" vertical="center" wrapText="1"/>
    </xf>
    <xf numFmtId="3" fontId="33" fillId="4" borderId="14" xfId="0" applyNumberFormat="1" applyFont="1" applyFill="1" applyBorder="1" applyAlignment="1">
      <alignment horizontal="center" vertical="center" wrapText="1"/>
    </xf>
    <xf numFmtId="3" fontId="33" fillId="25" borderId="14" xfId="0" applyNumberFormat="1" applyFont="1" applyFill="1" applyBorder="1" applyAlignment="1">
      <alignment horizontal="center" vertical="center" wrapText="1"/>
    </xf>
    <xf numFmtId="3" fontId="32" fillId="4" borderId="14" xfId="0" applyNumberFormat="1" applyFont="1" applyFill="1" applyBorder="1" applyAlignment="1">
      <alignment horizontal="center" vertical="center" wrapText="1"/>
    </xf>
    <xf numFmtId="3" fontId="33" fillId="4" borderId="19" xfId="0" applyNumberFormat="1" applyFont="1" applyFill="1" applyBorder="1" applyAlignment="1">
      <alignment horizontal="center" vertical="center"/>
    </xf>
    <xf numFmtId="3" fontId="43" fillId="0" borderId="19" xfId="0" applyNumberFormat="1" applyFont="1" applyBorder="1" applyAlignment="1">
      <alignment horizontal="center" vertical="center" wrapText="1"/>
    </xf>
    <xf numFmtId="166" fontId="45" fillId="0" borderId="13" xfId="0" applyNumberFormat="1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3" fontId="46" fillId="0" borderId="14" xfId="0" applyNumberFormat="1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3" fontId="31" fillId="0" borderId="42" xfId="0" applyNumberFormat="1" applyFont="1" applyFill="1" applyBorder="1" applyAlignment="1">
      <alignment horizontal="center" vertical="center" wrapText="1"/>
    </xf>
    <xf numFmtId="3" fontId="31" fillId="26" borderId="42" xfId="0" applyNumberFormat="1" applyFont="1" applyFill="1" applyBorder="1" applyAlignment="1">
      <alignment horizontal="center" vertical="center" wrapText="1"/>
    </xf>
    <xf numFmtId="3" fontId="43" fillId="0" borderId="42" xfId="0" applyNumberFormat="1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3" fontId="43" fillId="0" borderId="43" xfId="0" applyNumberFormat="1" applyFont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 wrapText="1"/>
    </xf>
    <xf numFmtId="3" fontId="31" fillId="0" borderId="44" xfId="0" applyNumberFormat="1" applyFont="1" applyFill="1" applyBorder="1" applyAlignment="1">
      <alignment horizontal="center" vertical="center" wrapText="1"/>
    </xf>
    <xf numFmtId="3" fontId="31" fillId="26" borderId="44" xfId="0" applyNumberFormat="1" applyFont="1" applyFill="1" applyBorder="1" applyAlignment="1">
      <alignment horizontal="center" vertical="center" wrapText="1"/>
    </xf>
    <xf numFmtId="3" fontId="43" fillId="0" borderId="44" xfId="0" applyNumberFormat="1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3" fontId="43" fillId="0" borderId="45" xfId="0" applyNumberFormat="1" applyFont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 wrapText="1"/>
    </xf>
    <xf numFmtId="3" fontId="31" fillId="0" borderId="46" xfId="0" applyNumberFormat="1" applyFont="1" applyFill="1" applyBorder="1" applyAlignment="1">
      <alignment horizontal="center" vertical="center" wrapText="1"/>
    </xf>
    <xf numFmtId="3" fontId="31" fillId="26" borderId="46" xfId="0" applyNumberFormat="1" applyFont="1" applyFill="1" applyBorder="1" applyAlignment="1">
      <alignment horizontal="center" vertical="center" wrapText="1"/>
    </xf>
    <xf numFmtId="3" fontId="43" fillId="0" borderId="46" xfId="0" applyNumberFormat="1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 wrapText="1"/>
    </xf>
    <xf numFmtId="3" fontId="43" fillId="0" borderId="47" xfId="0" applyNumberFormat="1" applyFont="1" applyBorder="1" applyAlignment="1">
      <alignment horizontal="center" vertical="center"/>
    </xf>
    <xf numFmtId="0" fontId="31" fillId="0" borderId="48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3" fontId="31" fillId="26" borderId="14" xfId="0" applyNumberFormat="1" applyFont="1" applyFill="1" applyBorder="1" applyAlignment="1">
      <alignment horizontal="center" vertical="center" wrapText="1"/>
    </xf>
    <xf numFmtId="3" fontId="43" fillId="26" borderId="42" xfId="0" applyNumberFormat="1" applyFont="1" applyFill="1" applyBorder="1" applyAlignment="1">
      <alignment horizontal="center" vertical="center" wrapText="1"/>
    </xf>
    <xf numFmtId="3" fontId="43" fillId="26" borderId="44" xfId="0" applyNumberFormat="1" applyFont="1" applyFill="1" applyBorder="1" applyAlignment="1">
      <alignment horizontal="center" vertical="center" wrapText="1"/>
    </xf>
    <xf numFmtId="3" fontId="43" fillId="26" borderId="46" xfId="0" applyNumberFormat="1" applyFont="1" applyFill="1" applyBorder="1" applyAlignment="1">
      <alignment horizontal="center" vertical="center" wrapText="1"/>
    </xf>
    <xf numFmtId="166" fontId="32" fillId="0" borderId="13" xfId="0" applyNumberFormat="1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left" vertical="center" wrapText="1"/>
    </xf>
    <xf numFmtId="3" fontId="46" fillId="27" borderId="14" xfId="0" applyNumberFormat="1" applyFont="1" applyFill="1" applyBorder="1" applyAlignment="1">
      <alignment horizontal="center" vertical="center" wrapText="1"/>
    </xf>
    <xf numFmtId="3" fontId="33" fillId="26" borderId="14" xfId="0" applyNumberFormat="1" applyFont="1" applyFill="1" applyBorder="1" applyAlignment="1">
      <alignment horizontal="center" vertical="center" wrapText="1"/>
    </xf>
    <xf numFmtId="3" fontId="31" fillId="28" borderId="14" xfId="0" applyNumberFormat="1" applyFont="1" applyFill="1" applyBorder="1" applyAlignment="1">
      <alignment horizontal="center" vertical="center" wrapText="1"/>
    </xf>
    <xf numFmtId="0" fontId="43" fillId="28" borderId="14" xfId="0" applyFont="1" applyFill="1" applyBorder="1" applyAlignment="1">
      <alignment horizontal="center" vertical="center" wrapText="1"/>
    </xf>
    <xf numFmtId="3" fontId="43" fillId="28" borderId="19" xfId="0" applyNumberFormat="1" applyFont="1" applyFill="1" applyBorder="1" applyAlignment="1">
      <alignment horizontal="center" vertical="center"/>
    </xf>
    <xf numFmtId="3" fontId="31" fillId="0" borderId="16" xfId="0" applyNumberFormat="1" applyFont="1" applyFill="1" applyBorder="1" applyAlignment="1">
      <alignment horizontal="center" vertical="center" wrapText="1"/>
    </xf>
    <xf numFmtId="3" fontId="31" fillId="26" borderId="16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2" fontId="46" fillId="0" borderId="34" xfId="0" applyNumberFormat="1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 wrapText="1"/>
    </xf>
    <xf numFmtId="3" fontId="31" fillId="0" borderId="51" xfId="0" applyNumberFormat="1" applyFont="1" applyFill="1" applyBorder="1" applyAlignment="1">
      <alignment horizontal="center" vertical="center" wrapText="1"/>
    </xf>
    <xf numFmtId="3" fontId="31" fillId="26" borderId="51" xfId="0" applyNumberFormat="1" applyFont="1" applyFill="1" applyBorder="1" applyAlignment="1">
      <alignment horizontal="center" vertical="center" wrapText="1"/>
    </xf>
    <xf numFmtId="3" fontId="43" fillId="26" borderId="51" xfId="0" applyNumberFormat="1" applyFont="1" applyFill="1" applyBorder="1" applyAlignment="1">
      <alignment horizontal="center" vertical="center" wrapText="1"/>
    </xf>
    <xf numFmtId="3" fontId="43" fillId="0" borderId="51" xfId="0" applyNumberFormat="1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 horizontal="center" vertical="center" wrapText="1"/>
    </xf>
    <xf numFmtId="3" fontId="43" fillId="0" borderId="52" xfId="0" applyNumberFormat="1" applyFont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right" vertical="center" wrapText="1"/>
    </xf>
    <xf numFmtId="0" fontId="31" fillId="0" borderId="56" xfId="0" applyFont="1" applyFill="1" applyBorder="1" applyAlignment="1">
      <alignment horizontal="center" vertical="center" wrapText="1"/>
    </xf>
    <xf numFmtId="3" fontId="31" fillId="0" borderId="56" xfId="0" applyNumberFormat="1" applyFont="1" applyFill="1" applyBorder="1" applyAlignment="1">
      <alignment horizontal="center" vertical="center" wrapText="1"/>
    </xf>
    <xf numFmtId="3" fontId="31" fillId="26" borderId="56" xfId="0" applyNumberFormat="1" applyFont="1" applyFill="1" applyBorder="1" applyAlignment="1">
      <alignment horizontal="center" vertical="center" wrapText="1"/>
    </xf>
    <xf numFmtId="3" fontId="43" fillId="26" borderId="56" xfId="0" applyNumberFormat="1" applyFont="1" applyFill="1" applyBorder="1" applyAlignment="1">
      <alignment horizontal="center" vertical="center" wrapText="1"/>
    </xf>
    <xf numFmtId="3" fontId="43" fillId="0" borderId="56" xfId="0" applyNumberFormat="1" applyFont="1" applyFill="1" applyBorder="1" applyAlignment="1">
      <alignment horizontal="center" vertical="center" wrapText="1"/>
    </xf>
    <xf numFmtId="0" fontId="43" fillId="0" borderId="56" xfId="0" applyFont="1" applyFill="1" applyBorder="1" applyAlignment="1">
      <alignment horizontal="center" vertical="center" wrapText="1"/>
    </xf>
    <xf numFmtId="3" fontId="43" fillId="0" borderId="57" xfId="0" applyNumberFormat="1" applyFont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 wrapText="1"/>
    </xf>
    <xf numFmtId="3" fontId="31" fillId="0" borderId="58" xfId="0" applyNumberFormat="1" applyFont="1" applyFill="1" applyBorder="1" applyAlignment="1">
      <alignment horizontal="center" vertical="center" wrapText="1"/>
    </xf>
    <xf numFmtId="3" fontId="31" fillId="26" borderId="58" xfId="0" applyNumberFormat="1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center" vertical="center" wrapText="1"/>
    </xf>
    <xf numFmtId="3" fontId="43" fillId="0" borderId="59" xfId="0" applyNumberFormat="1" applyFont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 wrapText="1"/>
    </xf>
    <xf numFmtId="3" fontId="31" fillId="0" borderId="60" xfId="0" applyNumberFormat="1" applyFont="1" applyFill="1" applyBorder="1" applyAlignment="1">
      <alignment horizontal="center" vertical="center" wrapText="1"/>
    </xf>
    <xf numFmtId="3" fontId="31" fillId="26" borderId="60" xfId="0" applyNumberFormat="1" applyFont="1" applyFill="1" applyBorder="1" applyAlignment="1">
      <alignment horizontal="center" vertical="center" wrapText="1"/>
    </xf>
    <xf numFmtId="0" fontId="43" fillId="0" borderId="60" xfId="0" applyFont="1" applyFill="1" applyBorder="1" applyAlignment="1">
      <alignment horizontal="center" vertical="center" wrapText="1"/>
    </xf>
    <xf numFmtId="3" fontId="43" fillId="0" borderId="61" xfId="0" applyNumberFormat="1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2" fontId="31" fillId="0" borderId="34" xfId="0" applyNumberFormat="1" applyFont="1" applyFill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31" fillId="0" borderId="28" xfId="0" applyFont="1" applyFill="1" applyBorder="1" applyAlignment="1">
      <alignment horizontal="left" vertical="center" wrapText="1"/>
    </xf>
    <xf numFmtId="3" fontId="31" fillId="0" borderId="28" xfId="0" applyNumberFormat="1" applyFont="1" applyBorder="1" applyAlignment="1">
      <alignment horizontal="center" vertical="center"/>
    </xf>
    <xf numFmtId="3" fontId="32" fillId="0" borderId="28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3" fontId="31" fillId="0" borderId="0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0" fontId="0" fillId="0" borderId="62" xfId="0" applyBorder="1" applyAlignment="1">
      <alignment/>
    </xf>
    <xf numFmtId="3" fontId="23" fillId="0" borderId="62" xfId="0" applyNumberFormat="1" applyFont="1" applyBorder="1" applyAlignment="1">
      <alignment horizontal="center" vertical="center" wrapText="1"/>
    </xf>
    <xf numFmtId="3" fontId="33" fillId="29" borderId="14" xfId="0" applyNumberFormat="1" applyFont="1" applyFill="1" applyBorder="1" applyAlignment="1">
      <alignment horizontal="center" vertical="center"/>
    </xf>
    <xf numFmtId="3" fontId="33" fillId="30" borderId="14" xfId="0" applyNumberFormat="1" applyFont="1" applyFill="1" applyBorder="1" applyAlignment="1">
      <alignment horizontal="center" vertical="center" wrapText="1"/>
    </xf>
    <xf numFmtId="4" fontId="33" fillId="0" borderId="14" xfId="0" applyNumberFormat="1" applyFont="1" applyFill="1" applyBorder="1" applyAlignment="1">
      <alignment horizontal="center" vertical="center" wrapText="1"/>
    </xf>
    <xf numFmtId="4" fontId="33" fillId="0" borderId="16" xfId="0" applyNumberFormat="1" applyFont="1" applyFill="1" applyBorder="1" applyAlignment="1">
      <alignment horizontal="center" vertical="center" wrapText="1"/>
    </xf>
    <xf numFmtId="165" fontId="33" fillId="0" borderId="16" xfId="0" applyNumberFormat="1" applyFont="1" applyFill="1" applyBorder="1" applyAlignment="1">
      <alignment horizontal="center" vertical="center" wrapText="1"/>
    </xf>
    <xf numFmtId="165" fontId="33" fillId="0" borderId="14" xfId="0" applyNumberFormat="1" applyFont="1" applyFill="1" applyBorder="1" applyAlignment="1">
      <alignment horizontal="center" vertical="center" wrapText="1"/>
    </xf>
    <xf numFmtId="3" fontId="33" fillId="0" borderId="23" xfId="0" applyNumberFormat="1" applyFont="1" applyFill="1" applyBorder="1" applyAlignment="1">
      <alignment horizontal="center" vertical="center" wrapText="1"/>
    </xf>
    <xf numFmtId="3" fontId="22" fillId="0" borderId="28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33" fillId="0" borderId="33" xfId="0" applyNumberFormat="1" applyFont="1" applyFill="1" applyBorder="1" applyAlignment="1">
      <alignment horizontal="center" vertical="center" wrapText="1"/>
    </xf>
    <xf numFmtId="3" fontId="33" fillId="31" borderId="23" xfId="0" applyNumberFormat="1" applyFont="1" applyFill="1" applyBorder="1" applyAlignment="1">
      <alignment horizontal="center" vertical="center"/>
    </xf>
    <xf numFmtId="3" fontId="36" fillId="31" borderId="14" xfId="0" applyNumberFormat="1" applyFont="1" applyFill="1" applyBorder="1" applyAlignment="1">
      <alignment horizontal="center" vertical="center"/>
    </xf>
    <xf numFmtId="3" fontId="33" fillId="31" borderId="14" xfId="0" applyNumberFormat="1" applyFont="1" applyFill="1" applyBorder="1" applyAlignment="1">
      <alignment horizontal="center" vertical="center"/>
    </xf>
    <xf numFmtId="3" fontId="36" fillId="31" borderId="14" xfId="0" applyNumberFormat="1" applyFont="1" applyFill="1" applyBorder="1" applyAlignment="1">
      <alignment horizontal="center" vertical="center" wrapText="1"/>
    </xf>
    <xf numFmtId="3" fontId="33" fillId="31" borderId="14" xfId="0" applyNumberFormat="1" applyFont="1" applyFill="1" applyBorder="1" applyAlignment="1">
      <alignment horizontal="center" vertical="center" wrapText="1"/>
    </xf>
    <xf numFmtId="4" fontId="33" fillId="31" borderId="14" xfId="0" applyNumberFormat="1" applyFont="1" applyFill="1" applyBorder="1" applyAlignment="1">
      <alignment horizontal="center" vertical="center" wrapText="1"/>
    </xf>
    <xf numFmtId="165" fontId="33" fillId="31" borderId="16" xfId="0" applyNumberFormat="1" applyFont="1" applyFill="1" applyBorder="1" applyAlignment="1">
      <alignment horizontal="center" vertical="center" wrapText="1"/>
    </xf>
    <xf numFmtId="165" fontId="33" fillId="31" borderId="14" xfId="0" applyNumberFormat="1" applyFont="1" applyFill="1" applyBorder="1" applyAlignment="1">
      <alignment horizontal="center" vertical="center" wrapText="1"/>
    </xf>
    <xf numFmtId="3" fontId="33" fillId="31" borderId="16" xfId="0" applyNumberFormat="1" applyFont="1" applyFill="1" applyBorder="1" applyAlignment="1">
      <alignment horizontal="center" vertical="center" wrapText="1"/>
    </xf>
    <xf numFmtId="3" fontId="33" fillId="31" borderId="33" xfId="0" applyNumberFormat="1" applyFont="1" applyFill="1" applyBorder="1" applyAlignment="1">
      <alignment horizontal="center" vertical="center" wrapText="1"/>
    </xf>
    <xf numFmtId="3" fontId="32" fillId="31" borderId="23" xfId="0" applyNumberFormat="1" applyFont="1" applyFill="1" applyBorder="1" applyAlignment="1">
      <alignment horizontal="center" vertical="center"/>
    </xf>
    <xf numFmtId="3" fontId="31" fillId="31" borderId="14" xfId="0" applyNumberFormat="1" applyFont="1" applyFill="1" applyBorder="1" applyAlignment="1">
      <alignment horizontal="center" vertical="center"/>
    </xf>
    <xf numFmtId="165" fontId="31" fillId="32" borderId="14" xfId="0" applyNumberFormat="1" applyFont="1" applyFill="1" applyBorder="1" applyAlignment="1">
      <alignment horizontal="center" vertical="center"/>
    </xf>
    <xf numFmtId="4" fontId="31" fillId="31" borderId="14" xfId="0" applyNumberFormat="1" applyFont="1" applyFill="1" applyBorder="1" applyAlignment="1">
      <alignment horizontal="center" vertical="center"/>
    </xf>
    <xf numFmtId="3" fontId="32" fillId="31" borderId="14" xfId="0" applyNumberFormat="1" applyFont="1" applyFill="1" applyBorder="1" applyAlignment="1">
      <alignment horizontal="center" vertical="center"/>
    </xf>
    <xf numFmtId="0" fontId="33" fillId="32" borderId="33" xfId="0" applyNumberFormat="1" applyFont="1" applyFill="1" applyBorder="1" applyAlignment="1">
      <alignment horizontal="center" vertical="center"/>
    </xf>
    <xf numFmtId="4" fontId="31" fillId="32" borderId="33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3" fontId="32" fillId="25" borderId="40" xfId="0" applyNumberFormat="1" applyFont="1" applyFill="1" applyBorder="1" applyAlignment="1">
      <alignment horizontal="center" vertical="center" wrapText="1"/>
    </xf>
    <xf numFmtId="3" fontId="32" fillId="25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8" fillId="0" borderId="16" xfId="0" applyNumberFormat="1" applyFont="1" applyBorder="1" applyAlignment="1">
      <alignment/>
    </xf>
    <xf numFmtId="164" fontId="21" fillId="0" borderId="63" xfId="0" applyNumberFormat="1" applyFont="1" applyBorder="1" applyAlignment="1">
      <alignment/>
    </xf>
    <xf numFmtId="1" fontId="21" fillId="0" borderId="51" xfId="0" applyNumberFormat="1" applyFont="1" applyBorder="1" applyAlignment="1">
      <alignment horizontal="center"/>
    </xf>
    <xf numFmtId="3" fontId="21" fillId="0" borderId="51" xfId="0" applyNumberFormat="1" applyFont="1" applyBorder="1" applyAlignment="1">
      <alignment horizontal="center" vertical="top" wrapText="1"/>
    </xf>
    <xf numFmtId="3" fontId="18" fillId="0" borderId="51" xfId="0" applyNumberFormat="1" applyFont="1" applyBorder="1" applyAlignment="1">
      <alignment horizontal="center" vertical="top" wrapText="1"/>
    </xf>
    <xf numFmtId="3" fontId="18" fillId="0" borderId="51" xfId="0" applyNumberFormat="1" applyFont="1" applyBorder="1" applyAlignment="1">
      <alignment/>
    </xf>
    <xf numFmtId="164" fontId="21" fillId="0" borderId="64" xfId="0" applyNumberFormat="1" applyFont="1" applyBorder="1" applyAlignment="1">
      <alignment/>
    </xf>
    <xf numFmtId="1" fontId="21" fillId="0" borderId="44" xfId="0" applyNumberFormat="1" applyFont="1" applyBorder="1" applyAlignment="1">
      <alignment horizontal="center"/>
    </xf>
    <xf numFmtId="3" fontId="21" fillId="0" borderId="44" xfId="0" applyNumberFormat="1" applyFont="1" applyBorder="1" applyAlignment="1">
      <alignment horizontal="center" vertical="top" wrapText="1"/>
    </xf>
    <xf numFmtId="3" fontId="18" fillId="0" borderId="44" xfId="0" applyNumberFormat="1" applyFont="1" applyBorder="1" applyAlignment="1">
      <alignment horizontal="center" vertical="top" wrapText="1"/>
    </xf>
    <xf numFmtId="3" fontId="18" fillId="0" borderId="44" xfId="0" applyNumberFormat="1" applyFont="1" applyBorder="1" applyAlignment="1">
      <alignment/>
    </xf>
    <xf numFmtId="164" fontId="21" fillId="0" borderId="65" xfId="0" applyNumberFormat="1" applyFont="1" applyBorder="1" applyAlignment="1">
      <alignment/>
    </xf>
    <xf numFmtId="1" fontId="21" fillId="0" borderId="56" xfId="0" applyNumberFormat="1" applyFont="1" applyBorder="1" applyAlignment="1">
      <alignment horizontal="center"/>
    </xf>
    <xf numFmtId="3" fontId="21" fillId="0" borderId="56" xfId="0" applyNumberFormat="1" applyFont="1" applyBorder="1" applyAlignment="1">
      <alignment horizontal="center" vertical="top" wrapText="1"/>
    </xf>
    <xf numFmtId="3" fontId="18" fillId="0" borderId="56" xfId="0" applyNumberFormat="1" applyFont="1" applyBorder="1" applyAlignment="1">
      <alignment horizontal="center" vertical="top" wrapText="1"/>
    </xf>
    <xf numFmtId="3" fontId="18" fillId="0" borderId="56" xfId="0" applyNumberFormat="1" applyFont="1" applyBorder="1" applyAlignment="1">
      <alignment/>
    </xf>
    <xf numFmtId="164" fontId="21" fillId="22" borderId="64" xfId="0" applyNumberFormat="1" applyFont="1" applyFill="1" applyBorder="1" applyAlignment="1">
      <alignment/>
    </xf>
    <xf numFmtId="1" fontId="21" fillId="22" borderId="44" xfId="0" applyNumberFormat="1" applyFont="1" applyFill="1" applyBorder="1" applyAlignment="1">
      <alignment horizontal="center"/>
    </xf>
    <xf numFmtId="3" fontId="18" fillId="22" borderId="44" xfId="0" applyNumberFormat="1" applyFont="1" applyFill="1" applyBorder="1" applyAlignment="1">
      <alignment/>
    </xf>
    <xf numFmtId="164" fontId="21" fillId="22" borderId="65" xfId="0" applyNumberFormat="1" applyFont="1" applyFill="1" applyBorder="1" applyAlignment="1">
      <alignment/>
    </xf>
    <xf numFmtId="1" fontId="21" fillId="22" borderId="56" xfId="0" applyNumberFormat="1" applyFont="1" applyFill="1" applyBorder="1" applyAlignment="1">
      <alignment horizontal="center"/>
    </xf>
    <xf numFmtId="3" fontId="18" fillId="22" borderId="56" xfId="0" applyNumberFormat="1" applyFont="1" applyFill="1" applyBorder="1" applyAlignment="1">
      <alignment/>
    </xf>
    <xf numFmtId="164" fontId="21" fillId="22" borderId="66" xfId="0" applyNumberFormat="1" applyFont="1" applyFill="1" applyBorder="1" applyAlignment="1">
      <alignment/>
    </xf>
    <xf numFmtId="1" fontId="21" fillId="22" borderId="60" xfId="0" applyNumberFormat="1" applyFont="1" applyFill="1" applyBorder="1" applyAlignment="1">
      <alignment horizontal="center"/>
    </xf>
    <xf numFmtId="3" fontId="21" fillId="0" borderId="60" xfId="0" applyNumberFormat="1" applyFont="1" applyBorder="1" applyAlignment="1">
      <alignment horizontal="center" vertical="top" wrapText="1"/>
    </xf>
    <xf numFmtId="3" fontId="18" fillId="0" borderId="60" xfId="0" applyNumberFormat="1" applyFont="1" applyBorder="1" applyAlignment="1">
      <alignment horizontal="center" vertical="top" wrapText="1"/>
    </xf>
    <xf numFmtId="3" fontId="18" fillId="0" borderId="60" xfId="0" applyNumberFormat="1" applyFont="1" applyBorder="1" applyAlignment="1">
      <alignment/>
    </xf>
    <xf numFmtId="3" fontId="18" fillId="22" borderId="60" xfId="0" applyNumberFormat="1" applyFont="1" applyFill="1" applyBorder="1" applyAlignment="1">
      <alignment/>
    </xf>
    <xf numFmtId="164" fontId="21" fillId="22" borderId="63" xfId="0" applyNumberFormat="1" applyFont="1" applyFill="1" applyBorder="1" applyAlignment="1">
      <alignment/>
    </xf>
    <xf numFmtId="1" fontId="21" fillId="22" borderId="51" xfId="0" applyNumberFormat="1" applyFont="1" applyFill="1" applyBorder="1" applyAlignment="1">
      <alignment horizontal="center"/>
    </xf>
    <xf numFmtId="3" fontId="21" fillId="22" borderId="51" xfId="0" applyNumberFormat="1" applyFont="1" applyFill="1" applyBorder="1" applyAlignment="1">
      <alignment horizontal="center" vertical="top" wrapText="1"/>
    </xf>
    <xf numFmtId="3" fontId="18" fillId="22" borderId="51" xfId="0" applyNumberFormat="1" applyFont="1" applyFill="1" applyBorder="1" applyAlignment="1">
      <alignment/>
    </xf>
    <xf numFmtId="3" fontId="21" fillId="22" borderId="44" xfId="0" applyNumberFormat="1" applyFont="1" applyFill="1" applyBorder="1" applyAlignment="1">
      <alignment horizontal="center" vertical="top" wrapText="1"/>
    </xf>
    <xf numFmtId="3" fontId="21" fillId="22" borderId="56" xfId="0" applyNumberFormat="1" applyFont="1" applyFill="1" applyBorder="1" applyAlignment="1">
      <alignment horizontal="center" vertical="top" wrapText="1"/>
    </xf>
    <xf numFmtId="3" fontId="18" fillId="22" borderId="51" xfId="0" applyNumberFormat="1" applyFont="1" applyFill="1" applyBorder="1" applyAlignment="1">
      <alignment horizontal="center" vertical="top" wrapText="1"/>
    </xf>
    <xf numFmtId="3" fontId="18" fillId="22" borderId="44" xfId="0" applyNumberFormat="1" applyFont="1" applyFill="1" applyBorder="1" applyAlignment="1">
      <alignment horizontal="center" vertical="top" wrapText="1"/>
    </xf>
    <xf numFmtId="3" fontId="18" fillId="22" borderId="56" xfId="0" applyNumberFormat="1" applyFont="1" applyFill="1" applyBorder="1" applyAlignment="1">
      <alignment horizontal="center" vertical="top" wrapText="1"/>
    </xf>
    <xf numFmtId="3" fontId="21" fillId="22" borderId="60" xfId="0" applyNumberFormat="1" applyFont="1" applyFill="1" applyBorder="1" applyAlignment="1">
      <alignment horizontal="center" vertical="top" wrapText="1"/>
    </xf>
    <xf numFmtId="3" fontId="18" fillId="22" borderId="60" xfId="0" applyNumberFormat="1" applyFont="1" applyFill="1" applyBorder="1" applyAlignment="1">
      <alignment horizontal="center" vertical="top" wrapText="1"/>
    </xf>
    <xf numFmtId="3" fontId="20" fillId="0" borderId="67" xfId="0" applyNumberFormat="1" applyFont="1" applyBorder="1" applyAlignment="1">
      <alignment horizontal="center" vertical="top" wrapText="1"/>
    </xf>
    <xf numFmtId="3" fontId="18" fillId="0" borderId="21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68" xfId="0" applyNumberFormat="1" applyFont="1" applyBorder="1" applyAlignment="1">
      <alignment/>
    </xf>
    <xf numFmtId="3" fontId="18" fillId="0" borderId="69" xfId="0" applyNumberFormat="1" applyFont="1" applyBorder="1" applyAlignment="1">
      <alignment/>
    </xf>
    <xf numFmtId="3" fontId="18" fillId="0" borderId="70" xfId="0" applyNumberFormat="1" applyFont="1" applyBorder="1" applyAlignment="1">
      <alignment/>
    </xf>
    <xf numFmtId="3" fontId="18" fillId="22" borderId="69" xfId="0" applyNumberFormat="1" applyFont="1" applyFill="1" applyBorder="1" applyAlignment="1">
      <alignment/>
    </xf>
    <xf numFmtId="3" fontId="18" fillId="22" borderId="70" xfId="0" applyNumberFormat="1" applyFont="1" applyFill="1" applyBorder="1" applyAlignment="1">
      <alignment/>
    </xf>
    <xf numFmtId="3" fontId="18" fillId="22" borderId="68" xfId="0" applyNumberFormat="1" applyFont="1" applyFill="1" applyBorder="1" applyAlignment="1">
      <alignment/>
    </xf>
    <xf numFmtId="3" fontId="18" fillId="22" borderId="71" xfId="0" applyNumberFormat="1" applyFont="1" applyFill="1" applyBorder="1" applyAlignment="1">
      <alignment/>
    </xf>
    <xf numFmtId="0" fontId="0" fillId="0" borderId="72" xfId="0" applyBorder="1" applyAlignment="1">
      <alignment/>
    </xf>
    <xf numFmtId="3" fontId="0" fillId="0" borderId="72" xfId="0" applyNumberFormat="1" applyBorder="1" applyAlignment="1">
      <alignment/>
    </xf>
    <xf numFmtId="0" fontId="18" fillId="0" borderId="72" xfId="0" applyFont="1" applyBorder="1" applyAlignment="1">
      <alignment/>
    </xf>
    <xf numFmtId="0" fontId="0" fillId="22" borderId="72" xfId="0" applyNumberFormat="1" applyFill="1" applyBorder="1" applyAlignment="1">
      <alignment/>
    </xf>
    <xf numFmtId="0" fontId="0" fillId="22" borderId="72" xfId="0" applyFill="1" applyBorder="1" applyAlignment="1">
      <alignment/>
    </xf>
    <xf numFmtId="3" fontId="0" fillId="22" borderId="72" xfId="0" applyNumberFormat="1" applyFill="1" applyBorder="1" applyAlignment="1">
      <alignment/>
    </xf>
    <xf numFmtId="0" fontId="0" fillId="0" borderId="72" xfId="0" applyNumberFormat="1" applyBorder="1" applyAlignment="1">
      <alignment/>
    </xf>
    <xf numFmtId="3" fontId="32" fillId="0" borderId="23" xfId="0" applyNumberFormat="1" applyFont="1" applyFill="1" applyBorder="1" applyAlignment="1">
      <alignment horizontal="center" vertical="center"/>
    </xf>
    <xf numFmtId="3" fontId="21" fillId="0" borderId="51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0" fillId="0" borderId="73" xfId="0" applyBorder="1" applyAlignment="1">
      <alignment/>
    </xf>
    <xf numFmtId="3" fontId="21" fillId="0" borderId="56" xfId="0" applyNumberFormat="1" applyFont="1" applyBorder="1" applyAlignment="1">
      <alignment/>
    </xf>
    <xf numFmtId="3" fontId="21" fillId="22" borderId="44" xfId="0" applyNumberFormat="1" applyFont="1" applyFill="1" applyBorder="1" applyAlignment="1">
      <alignment/>
    </xf>
    <xf numFmtId="3" fontId="21" fillId="22" borderId="56" xfId="0" applyNumberFormat="1" applyFont="1" applyFill="1" applyBorder="1" applyAlignment="1">
      <alignment/>
    </xf>
    <xf numFmtId="3" fontId="21" fillId="0" borderId="60" xfId="0" applyNumberFormat="1" applyFont="1" applyBorder="1" applyAlignment="1">
      <alignment/>
    </xf>
    <xf numFmtId="3" fontId="21" fillId="22" borderId="60" xfId="0" applyNumberFormat="1" applyFont="1" applyFill="1" applyBorder="1" applyAlignment="1">
      <alignment/>
    </xf>
    <xf numFmtId="3" fontId="21" fillId="22" borderId="51" xfId="0" applyNumberFormat="1" applyFont="1" applyFill="1" applyBorder="1" applyAlignment="1">
      <alignment/>
    </xf>
    <xf numFmtId="164" fontId="21" fillId="0" borderId="66" xfId="0" applyNumberFormat="1" applyFont="1" applyBorder="1" applyAlignment="1">
      <alignment/>
    </xf>
    <xf numFmtId="1" fontId="21" fillId="0" borderId="60" xfId="0" applyNumberFormat="1" applyFont="1" applyBorder="1" applyAlignment="1">
      <alignment horizontal="center"/>
    </xf>
    <xf numFmtId="0" fontId="0" fillId="0" borderId="74" xfId="0" applyFill="1" applyBorder="1" applyAlignment="1">
      <alignment/>
    </xf>
    <xf numFmtId="3" fontId="19" fillId="33" borderId="72" xfId="0" applyNumberFormat="1" applyFont="1" applyFill="1" applyBorder="1" applyAlignment="1">
      <alignment horizontal="center" vertical="top" wrapText="1"/>
    </xf>
    <xf numFmtId="3" fontId="0" fillId="33" borderId="72" xfId="0" applyNumberFormat="1" applyFill="1" applyBorder="1" applyAlignment="1">
      <alignment/>
    </xf>
    <xf numFmtId="0" fontId="0" fillId="33" borderId="75" xfId="0" applyFill="1" applyBorder="1" applyAlignment="1">
      <alignment/>
    </xf>
    <xf numFmtId="0" fontId="18" fillId="33" borderId="76" xfId="0" applyFont="1" applyFill="1" applyBorder="1" applyAlignment="1">
      <alignment/>
    </xf>
    <xf numFmtId="0" fontId="0" fillId="33" borderId="77" xfId="0" applyFill="1" applyBorder="1" applyAlignment="1">
      <alignment/>
    </xf>
    <xf numFmtId="3" fontId="0" fillId="33" borderId="78" xfId="0" applyNumberFormat="1" applyFill="1" applyBorder="1" applyAlignment="1">
      <alignment/>
    </xf>
    <xf numFmtId="3" fontId="0" fillId="33" borderId="76" xfId="0" applyNumberFormat="1" applyFill="1" applyBorder="1" applyAlignment="1">
      <alignment/>
    </xf>
    <xf numFmtId="3" fontId="0" fillId="33" borderId="77" xfId="0" applyNumberFormat="1" applyFill="1" applyBorder="1" applyAlignment="1">
      <alignment/>
    </xf>
    <xf numFmtId="3" fontId="0" fillId="33" borderId="79" xfId="0" applyNumberFormat="1" applyFill="1" applyBorder="1" applyAlignment="1">
      <alignment/>
    </xf>
    <xf numFmtId="0" fontId="0" fillId="33" borderId="80" xfId="0" applyFill="1" applyBorder="1" applyAlignment="1">
      <alignment/>
    </xf>
    <xf numFmtId="0" fontId="0" fillId="33" borderId="81" xfId="0" applyFill="1" applyBorder="1" applyAlignment="1">
      <alignment/>
    </xf>
    <xf numFmtId="0" fontId="0" fillId="33" borderId="72" xfId="0" applyFill="1" applyBorder="1" applyAlignment="1">
      <alignment/>
    </xf>
    <xf numFmtId="0" fontId="18" fillId="33" borderId="72" xfId="0" applyFont="1" applyFill="1" applyBorder="1" applyAlignment="1">
      <alignment/>
    </xf>
    <xf numFmtId="3" fontId="0" fillId="33" borderId="0" xfId="0" applyNumberFormat="1" applyFill="1" applyAlignment="1">
      <alignment/>
    </xf>
    <xf numFmtId="3" fontId="28" fillId="33" borderId="0" xfId="0" applyNumberFormat="1" applyFont="1" applyFill="1" applyAlignment="1">
      <alignment/>
    </xf>
    <xf numFmtId="3" fontId="19" fillId="0" borderId="67" xfId="0" applyNumberFormat="1" applyFont="1" applyBorder="1" applyAlignment="1">
      <alignment horizontal="center" vertical="top" wrapText="1"/>
    </xf>
    <xf numFmtId="3" fontId="21" fillId="0" borderId="21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68" xfId="0" applyNumberFormat="1" applyFont="1" applyBorder="1" applyAlignment="1">
      <alignment/>
    </xf>
    <xf numFmtId="3" fontId="21" fillId="0" borderId="69" xfId="0" applyNumberFormat="1" applyFont="1" applyBorder="1" applyAlignment="1">
      <alignment/>
    </xf>
    <xf numFmtId="3" fontId="21" fillId="0" borderId="70" xfId="0" applyNumberFormat="1" applyFont="1" applyBorder="1" applyAlignment="1">
      <alignment/>
    </xf>
    <xf numFmtId="3" fontId="21" fillId="22" borderId="69" xfId="0" applyNumberFormat="1" applyFont="1" applyFill="1" applyBorder="1" applyAlignment="1">
      <alignment/>
    </xf>
    <xf numFmtId="3" fontId="21" fillId="22" borderId="71" xfId="0" applyNumberFormat="1" applyFont="1" applyFill="1" applyBorder="1" applyAlignment="1">
      <alignment/>
    </xf>
    <xf numFmtId="3" fontId="21" fillId="22" borderId="68" xfId="0" applyNumberFormat="1" applyFont="1" applyFill="1" applyBorder="1" applyAlignment="1">
      <alignment/>
    </xf>
    <xf numFmtId="3" fontId="21" fillId="22" borderId="70" xfId="0" applyNumberFormat="1" applyFont="1" applyFill="1" applyBorder="1" applyAlignment="1">
      <alignment/>
    </xf>
    <xf numFmtId="3" fontId="21" fillId="0" borderId="71" xfId="0" applyNumberFormat="1" applyFont="1" applyBorder="1" applyAlignment="1">
      <alignment/>
    </xf>
    <xf numFmtId="3" fontId="19" fillId="0" borderId="14" xfId="0" applyNumberFormat="1" applyFont="1" applyFill="1" applyBorder="1" applyAlignment="1">
      <alignment horizontal="center" vertical="top" wrapText="1"/>
    </xf>
    <xf numFmtId="3" fontId="19" fillId="0" borderId="82" xfId="0" applyNumberFormat="1" applyFont="1" applyFill="1" applyBorder="1" applyAlignment="1">
      <alignment horizontal="center" vertical="top" wrapText="1"/>
    </xf>
    <xf numFmtId="3" fontId="21" fillId="0" borderId="14" xfId="0" applyNumberFormat="1" applyFont="1" applyFill="1" applyBorder="1" applyAlignment="1">
      <alignment/>
    </xf>
    <xf numFmtId="3" fontId="21" fillId="0" borderId="82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82" xfId="0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82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83" xfId="0" applyFill="1" applyBorder="1" applyAlignment="1">
      <alignment/>
    </xf>
    <xf numFmtId="2" fontId="47" fillId="0" borderId="34" xfId="0" applyNumberFormat="1" applyFont="1" applyFill="1" applyBorder="1" applyAlignment="1">
      <alignment horizontal="left" vertical="center" wrapText="1"/>
    </xf>
    <xf numFmtId="0" fontId="48" fillId="0" borderId="48" xfId="0" applyFont="1" applyFill="1" applyBorder="1" applyAlignment="1">
      <alignment horizontal="left" vertical="center" wrapText="1"/>
    </xf>
    <xf numFmtId="0" fontId="48" fillId="0" borderId="84" xfId="0" applyFont="1" applyFill="1" applyBorder="1" applyAlignment="1">
      <alignment horizontal="right" vertical="center" wrapText="1"/>
    </xf>
    <xf numFmtId="0" fontId="48" fillId="0" borderId="15" xfId="0" applyFont="1" applyFill="1" applyBorder="1" applyAlignment="1">
      <alignment horizontal="right" vertical="center" wrapText="1"/>
    </xf>
    <xf numFmtId="3" fontId="33" fillId="34" borderId="14" xfId="0" applyNumberFormat="1" applyFont="1" applyFill="1" applyBorder="1" applyAlignment="1">
      <alignment horizontal="center" vertical="center" wrapText="1"/>
    </xf>
    <xf numFmtId="0" fontId="32" fillId="34" borderId="13" xfId="0" applyFont="1" applyFill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 wrapText="1"/>
    </xf>
    <xf numFmtId="0" fontId="36" fillId="34" borderId="14" xfId="0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46" fillId="35" borderId="19" xfId="0" applyNumberFormat="1" applyFont="1" applyFill="1" applyBorder="1" applyAlignment="1">
      <alignment horizontal="center" vertical="center"/>
    </xf>
    <xf numFmtId="3" fontId="25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0" fontId="33" fillId="27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28" borderId="14" xfId="0" applyFont="1" applyFill="1" applyBorder="1" applyAlignment="1">
      <alignment horizontal="center" vertical="center" wrapText="1"/>
    </xf>
    <xf numFmtId="0" fontId="43" fillId="27" borderId="16" xfId="0" applyFont="1" applyFill="1" applyBorder="1" applyAlignment="1">
      <alignment horizontal="center" vertical="center" wrapText="1"/>
    </xf>
    <xf numFmtId="3" fontId="0" fillId="0" borderId="74" xfId="0" applyNumberFormat="1" applyFill="1" applyBorder="1" applyAlignment="1">
      <alignment/>
    </xf>
    <xf numFmtId="3" fontId="45" fillId="27" borderId="16" xfId="0" applyNumberFormat="1" applyFont="1" applyFill="1" applyBorder="1" applyAlignment="1">
      <alignment horizontal="center" vertical="center" wrapText="1"/>
    </xf>
    <xf numFmtId="0" fontId="32" fillId="4" borderId="3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28" borderId="14" xfId="0" applyFont="1" applyFill="1" applyBorder="1" applyAlignment="1">
      <alignment horizontal="center" vertical="center" wrapText="1"/>
    </xf>
    <xf numFmtId="0" fontId="31" fillId="0" borderId="85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1" fillId="0" borderId="85" xfId="0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left" vertical="center" wrapText="1"/>
    </xf>
    <xf numFmtId="0" fontId="32" fillId="22" borderId="1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top" wrapText="1"/>
    </xf>
    <xf numFmtId="3" fontId="31" fillId="0" borderId="0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center" vertical="center" wrapText="1"/>
    </xf>
    <xf numFmtId="0" fontId="32" fillId="22" borderId="33" xfId="0" applyFont="1" applyFill="1" applyBorder="1" applyAlignment="1">
      <alignment horizontal="center" vertical="center" wrapText="1"/>
    </xf>
    <xf numFmtId="0" fontId="49" fillId="36" borderId="3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3" fontId="43" fillId="0" borderId="16" xfId="0" applyNumberFormat="1" applyFont="1" applyFill="1" applyBorder="1" applyAlignment="1">
      <alignment horizontal="center" vertical="center" wrapText="1"/>
    </xf>
    <xf numFmtId="3" fontId="43" fillId="0" borderId="31" xfId="0" applyNumberFormat="1" applyFont="1" applyBorder="1" applyAlignment="1">
      <alignment horizontal="center" vertical="center"/>
    </xf>
    <xf numFmtId="0" fontId="33" fillId="4" borderId="14" xfId="0" applyFont="1" applyFill="1" applyBorder="1" applyAlignment="1">
      <alignment horizontal="center" vertical="center" wrapText="1"/>
    </xf>
    <xf numFmtId="0" fontId="44" fillId="37" borderId="14" xfId="0" applyFont="1" applyFill="1" applyBorder="1" applyAlignment="1">
      <alignment horizontal="center" vertical="center" wrapText="1"/>
    </xf>
    <xf numFmtId="3" fontId="46" fillId="38" borderId="19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3" fontId="31" fillId="0" borderId="40" xfId="0" applyNumberFormat="1" applyFont="1" applyFill="1" applyBorder="1" applyAlignment="1">
      <alignment horizontal="center" vertical="center" wrapText="1"/>
    </xf>
    <xf numFmtId="3" fontId="31" fillId="26" borderId="40" xfId="0" applyNumberFormat="1" applyFont="1" applyFill="1" applyBorder="1" applyAlignment="1">
      <alignment horizontal="center" vertical="center" wrapText="1"/>
    </xf>
    <xf numFmtId="3" fontId="43" fillId="0" borderId="40" xfId="0" applyNumberFormat="1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39" xfId="0" applyFont="1" applyFill="1" applyBorder="1" applyAlignment="1">
      <alignment horizontal="left" vertical="center" wrapText="1"/>
    </xf>
    <xf numFmtId="0" fontId="40" fillId="0" borderId="48" xfId="0" applyFont="1" applyFill="1" applyBorder="1" applyAlignment="1">
      <alignment horizontal="left" vertical="center" wrapText="1"/>
    </xf>
    <xf numFmtId="0" fontId="40" fillId="0" borderId="85" xfId="0" applyFont="1" applyFill="1" applyBorder="1" applyAlignment="1">
      <alignment horizontal="left" vertical="center" wrapText="1"/>
    </xf>
    <xf numFmtId="0" fontId="40" fillId="0" borderId="72" xfId="0" applyFont="1" applyBorder="1" applyAlignment="1">
      <alignment vertical="center" wrapText="1"/>
    </xf>
    <xf numFmtId="0" fontId="40" fillId="0" borderId="75" xfId="0" applyFont="1" applyBorder="1" applyAlignment="1">
      <alignment vertical="center" wrapText="1"/>
    </xf>
    <xf numFmtId="0" fontId="32" fillId="22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50" fillId="0" borderId="34" xfId="0" applyFont="1" applyBorder="1" applyAlignment="1">
      <alignment horizontal="left" vertical="center" wrapText="1"/>
    </xf>
    <xf numFmtId="0" fontId="48" fillId="0" borderId="34" xfId="0" applyFont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72" xfId="0" applyFont="1" applyBorder="1" applyAlignment="1">
      <alignment vertical="center" wrapText="1"/>
    </xf>
    <xf numFmtId="0" fontId="31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center" vertical="center" wrapText="1"/>
    </xf>
    <xf numFmtId="3" fontId="31" fillId="0" borderId="28" xfId="0" applyNumberFormat="1" applyFont="1" applyBorder="1" applyAlignment="1">
      <alignment horizontal="center" vertical="center" wrapText="1"/>
    </xf>
    <xf numFmtId="3" fontId="43" fillId="0" borderId="28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 vertical="center"/>
    </xf>
    <xf numFmtId="3" fontId="31" fillId="0" borderId="28" xfId="0" applyNumberFormat="1" applyFont="1" applyFill="1" applyBorder="1" applyAlignment="1">
      <alignment horizontal="center" vertical="center" wrapText="1"/>
    </xf>
    <xf numFmtId="3" fontId="43" fillId="0" borderId="28" xfId="0" applyNumberFormat="1" applyFont="1" applyFill="1" applyBorder="1" applyAlignment="1">
      <alignment horizontal="center" vertical="center" wrapText="1"/>
    </xf>
    <xf numFmtId="0" fontId="31" fillId="0" borderId="75" xfId="0" applyFont="1" applyBorder="1" applyAlignment="1">
      <alignment vertical="center" wrapText="1"/>
    </xf>
    <xf numFmtId="2" fontId="48" fillId="0" borderId="34" xfId="0" applyNumberFormat="1" applyFont="1" applyFill="1" applyBorder="1" applyAlignment="1">
      <alignment horizontal="left" vertical="center" wrapText="1"/>
    </xf>
    <xf numFmtId="2" fontId="48" fillId="0" borderId="48" xfId="0" applyNumberFormat="1" applyFont="1" applyFill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164" fontId="19" fillId="0" borderId="0" xfId="0" applyNumberFormat="1" applyFont="1" applyBorder="1" applyAlignment="1">
      <alignment horizontal="center" vertical="top" wrapText="1"/>
    </xf>
    <xf numFmtId="0" fontId="0" fillId="33" borderId="80" xfId="0" applyFill="1" applyBorder="1" applyAlignment="1">
      <alignment/>
    </xf>
    <xf numFmtId="0" fontId="0" fillId="33" borderId="81" xfId="0" applyFill="1" applyBorder="1" applyAlignment="1">
      <alignment/>
    </xf>
    <xf numFmtId="0" fontId="0" fillId="0" borderId="75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75" xfId="0" applyBorder="1" applyAlignment="1">
      <alignment vertical="center"/>
    </xf>
    <xf numFmtId="0" fontId="0" fillId="0" borderId="74" xfId="0" applyBorder="1" applyAlignment="1">
      <alignment vertical="center"/>
    </xf>
    <xf numFmtId="164" fontId="19" fillId="0" borderId="86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87" xfId="0" applyBorder="1" applyAlignment="1">
      <alignment horizontal="center" vertical="top" wrapText="1"/>
    </xf>
    <xf numFmtId="0" fontId="0" fillId="33" borderId="72" xfId="0" applyFill="1" applyBorder="1" applyAlignment="1">
      <alignment/>
    </xf>
    <xf numFmtId="0" fontId="33" fillId="22" borderId="88" xfId="0" applyFont="1" applyFill="1" applyBorder="1" applyAlignment="1">
      <alignment horizontal="center" vertical="center"/>
    </xf>
    <xf numFmtId="0" fontId="33" fillId="22" borderId="35" xfId="0" applyFont="1" applyFill="1" applyBorder="1" applyAlignment="1">
      <alignment horizontal="center" vertical="center"/>
    </xf>
    <xf numFmtId="0" fontId="33" fillId="22" borderId="89" xfId="0" applyFont="1" applyFill="1" applyBorder="1" applyAlignment="1">
      <alignment horizontal="center" vertical="center"/>
    </xf>
    <xf numFmtId="0" fontId="33" fillId="29" borderId="88" xfId="0" applyFont="1" applyFill="1" applyBorder="1" applyAlignment="1">
      <alignment horizontal="center" vertical="center" wrapText="1"/>
    </xf>
    <xf numFmtId="0" fontId="33" fillId="29" borderId="89" xfId="0" applyFont="1" applyFill="1" applyBorder="1" applyAlignment="1">
      <alignment horizontal="center" vertical="center" wrapText="1"/>
    </xf>
    <xf numFmtId="0" fontId="33" fillId="32" borderId="88" xfId="0" applyFont="1" applyFill="1" applyBorder="1" applyAlignment="1">
      <alignment horizontal="center" vertical="center"/>
    </xf>
    <xf numFmtId="0" fontId="33" fillId="32" borderId="89" xfId="0" applyFont="1" applyFill="1" applyBorder="1" applyAlignment="1">
      <alignment horizontal="center" vertical="center"/>
    </xf>
    <xf numFmtId="0" fontId="33" fillId="29" borderId="88" xfId="0" applyFont="1" applyFill="1" applyBorder="1" applyAlignment="1">
      <alignment horizontal="center" vertical="center"/>
    </xf>
    <xf numFmtId="0" fontId="33" fillId="29" borderId="89" xfId="0" applyFont="1" applyFill="1" applyBorder="1" applyAlignment="1">
      <alignment horizontal="center" vertical="center"/>
    </xf>
    <xf numFmtId="0" fontId="33" fillId="22" borderId="90" xfId="0" applyFont="1" applyFill="1" applyBorder="1" applyAlignment="1">
      <alignment horizontal="center" vertical="center" wrapText="1"/>
    </xf>
    <xf numFmtId="0" fontId="33" fillId="22" borderId="91" xfId="0" applyFont="1" applyFill="1" applyBorder="1" applyAlignment="1">
      <alignment horizontal="center" vertical="center" wrapText="1"/>
    </xf>
    <xf numFmtId="0" fontId="33" fillId="22" borderId="92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center" vertical="center" textRotation="90"/>
    </xf>
    <xf numFmtId="0" fontId="33" fillId="22" borderId="93" xfId="0" applyFont="1" applyFill="1" applyBorder="1" applyAlignment="1">
      <alignment horizontal="center" vertical="center" wrapText="1"/>
    </xf>
    <xf numFmtId="0" fontId="33" fillId="22" borderId="94" xfId="0" applyFont="1" applyFill="1" applyBorder="1" applyAlignment="1">
      <alignment horizontal="center" vertical="center" wrapText="1"/>
    </xf>
    <xf numFmtId="0" fontId="33" fillId="22" borderId="95" xfId="0" applyFont="1" applyFill="1" applyBorder="1" applyAlignment="1">
      <alignment horizontal="center" vertical="center" wrapText="1"/>
    </xf>
    <xf numFmtId="0" fontId="33" fillId="22" borderId="96" xfId="0" applyFont="1" applyFill="1" applyBorder="1" applyAlignment="1">
      <alignment horizontal="center" vertical="center" wrapText="1"/>
    </xf>
    <xf numFmtId="0" fontId="33" fillId="22" borderId="97" xfId="0" applyFont="1" applyFill="1" applyBorder="1" applyAlignment="1">
      <alignment horizontal="center" vertical="center" wrapText="1"/>
    </xf>
    <xf numFmtId="0" fontId="33" fillId="22" borderId="98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/>
    </xf>
    <xf numFmtId="0" fontId="36" fillId="0" borderId="17" xfId="0" applyFont="1" applyFill="1" applyBorder="1" applyAlignment="1">
      <alignment horizontal="center" vertical="center" textRotation="90" wrapText="1"/>
    </xf>
    <xf numFmtId="0" fontId="36" fillId="0" borderId="53" xfId="0" applyFont="1" applyFill="1" applyBorder="1" applyAlignment="1">
      <alignment horizontal="center" vertical="center" textRotation="90" wrapText="1"/>
    </xf>
    <xf numFmtId="0" fontId="36" fillId="0" borderId="38" xfId="0" applyFont="1" applyFill="1" applyBorder="1" applyAlignment="1">
      <alignment horizontal="center" vertical="center" textRotation="90" wrapText="1"/>
    </xf>
    <xf numFmtId="0" fontId="36" fillId="0" borderId="27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33" fillId="22" borderId="99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left" vertical="center" wrapText="1"/>
    </xf>
    <xf numFmtId="0" fontId="36" fillId="0" borderId="34" xfId="0" applyFont="1" applyBorder="1" applyAlignment="1">
      <alignment vertical="center"/>
    </xf>
    <xf numFmtId="0" fontId="33" fillId="0" borderId="33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34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 wrapText="1"/>
    </xf>
    <xf numFmtId="0" fontId="33" fillId="22" borderId="99" xfId="0" applyFont="1" applyFill="1" applyBorder="1" applyAlignment="1">
      <alignment horizontal="center" vertical="center"/>
    </xf>
    <xf numFmtId="0" fontId="33" fillId="32" borderId="99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textRotation="90"/>
    </xf>
    <xf numFmtId="0" fontId="33" fillId="22" borderId="13" xfId="0" applyFont="1" applyFill="1" applyBorder="1" applyAlignment="1">
      <alignment horizontal="left" vertical="center" wrapText="1"/>
    </xf>
    <xf numFmtId="0" fontId="39" fillId="4" borderId="20" xfId="0" applyFont="1" applyFill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 wrapText="1"/>
    </xf>
    <xf numFmtId="0" fontId="33" fillId="22" borderId="88" xfId="0" applyFont="1" applyFill="1" applyBorder="1" applyAlignment="1">
      <alignment horizontal="center" vertical="center" wrapText="1"/>
    </xf>
    <xf numFmtId="0" fontId="33" fillId="22" borderId="89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 textRotation="90" wrapText="1"/>
    </xf>
    <xf numFmtId="0" fontId="33" fillId="0" borderId="37" xfId="0" applyFont="1" applyFill="1" applyBorder="1" applyAlignment="1">
      <alignment horizontal="left" vertical="center" wrapText="1"/>
    </xf>
    <xf numFmtId="0" fontId="33" fillId="22" borderId="10" xfId="0" applyFont="1" applyFill="1" applyBorder="1" applyAlignment="1">
      <alignment horizontal="center" vertical="center"/>
    </xf>
    <xf numFmtId="0" fontId="38" fillId="22" borderId="11" xfId="0" applyFont="1" applyFill="1" applyBorder="1" applyAlignment="1">
      <alignment horizontal="center" vertical="center"/>
    </xf>
    <xf numFmtId="0" fontId="33" fillId="22" borderId="25" xfId="0" applyFont="1" applyFill="1" applyBorder="1" applyAlignment="1">
      <alignment horizontal="center" vertical="center"/>
    </xf>
    <xf numFmtId="0" fontId="33" fillId="22" borderId="30" xfId="0" applyFont="1" applyFill="1" applyBorder="1" applyAlignment="1">
      <alignment horizontal="center" vertical="center"/>
    </xf>
    <xf numFmtId="0" fontId="33" fillId="22" borderId="28" xfId="0" applyFont="1" applyFill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3" fillId="22" borderId="19" xfId="0" applyFont="1" applyFill="1" applyBorder="1" applyAlignment="1">
      <alignment horizontal="center" vertical="center"/>
    </xf>
    <xf numFmtId="0" fontId="39" fillId="4" borderId="20" xfId="0" applyFont="1" applyFill="1" applyBorder="1" applyAlignment="1">
      <alignment horizontal="center" vertical="top"/>
    </xf>
    <xf numFmtId="0" fontId="32" fillId="22" borderId="23" xfId="0" applyFont="1" applyFill="1" applyBorder="1" applyAlignment="1">
      <alignment horizontal="center" vertical="center" wrapText="1"/>
    </xf>
    <xf numFmtId="0" fontId="32" fillId="22" borderId="100" xfId="0" applyFont="1" applyFill="1" applyBorder="1" applyAlignment="1">
      <alignment horizontal="center" vertical="center" wrapText="1"/>
    </xf>
    <xf numFmtId="0" fontId="32" fillId="22" borderId="101" xfId="0" applyFont="1" applyFill="1" applyBorder="1" applyAlignment="1">
      <alignment horizontal="center" vertical="center" wrapText="1"/>
    </xf>
    <xf numFmtId="0" fontId="31" fillId="0" borderId="102" xfId="0" applyFont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center" vertical="center" wrapText="1"/>
    </xf>
    <xf numFmtId="0" fontId="31" fillId="26" borderId="14" xfId="0" applyFont="1" applyFill="1" applyBorder="1" applyAlignment="1">
      <alignment horizontal="center" vertical="center" wrapText="1"/>
    </xf>
    <xf numFmtId="0" fontId="32" fillId="22" borderId="16" xfId="0" applyFont="1" applyFill="1" applyBorder="1" applyAlignment="1">
      <alignment horizontal="center" vertical="center" wrapText="1"/>
    </xf>
    <xf numFmtId="0" fontId="32" fillId="22" borderId="55" xfId="0" applyFont="1" applyFill="1" applyBorder="1" applyAlignment="1">
      <alignment horizontal="center" vertical="center" wrapText="1"/>
    </xf>
    <xf numFmtId="0" fontId="32" fillId="22" borderId="37" xfId="0" applyFont="1" applyFill="1" applyBorder="1" applyAlignment="1">
      <alignment horizontal="center" vertical="center"/>
    </xf>
    <xf numFmtId="0" fontId="32" fillId="22" borderId="13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2" fillId="22" borderId="23" xfId="0" applyFont="1" applyFill="1" applyBorder="1" applyAlignment="1">
      <alignment horizontal="center" vertical="center"/>
    </xf>
    <xf numFmtId="0" fontId="32" fillId="22" borderId="14" xfId="0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51" fillId="22" borderId="84" xfId="0" applyFont="1" applyFill="1" applyBorder="1" applyAlignment="1">
      <alignment horizontal="center" vertical="center" wrapText="1"/>
    </xf>
    <xf numFmtId="0" fontId="51" fillId="22" borderId="15" xfId="0" applyFont="1" applyFill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52" fillId="22" borderId="23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22" borderId="14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right" vertical="center" wrapText="1"/>
    </xf>
    <xf numFmtId="0" fontId="31" fillId="28" borderId="14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43" fillId="27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33" fillId="27" borderId="1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right" vertical="center" wrapText="1"/>
    </xf>
    <xf numFmtId="0" fontId="33" fillId="0" borderId="14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1" fillId="4" borderId="88" xfId="0" applyFont="1" applyFill="1" applyBorder="1" applyAlignment="1">
      <alignment horizontal="center" vertical="center"/>
    </xf>
    <xf numFmtId="0" fontId="41" fillId="4" borderId="8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4">
      <selection activeCell="D40" sqref="D40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 thickBot="1">
      <c r="A1" s="540" t="s">
        <v>231</v>
      </c>
      <c r="B1" s="540"/>
      <c r="C1" s="540"/>
      <c r="D1" s="540"/>
      <c r="E1" s="540"/>
      <c r="F1" s="540"/>
      <c r="G1" s="540"/>
    </row>
    <row r="2" spans="1:7" ht="26.25" thickBot="1">
      <c r="A2" s="3" t="s">
        <v>0</v>
      </c>
      <c r="B2" s="4"/>
      <c r="C2" s="5" t="s">
        <v>1</v>
      </c>
      <c r="D2" s="6" t="s">
        <v>2</v>
      </c>
      <c r="E2" s="7" t="s">
        <v>3</v>
      </c>
      <c r="F2" s="6" t="s">
        <v>4</v>
      </c>
      <c r="G2" s="8" t="s">
        <v>5</v>
      </c>
    </row>
    <row r="3" spans="1:7" ht="15">
      <c r="A3" s="9" t="s">
        <v>6</v>
      </c>
      <c r="B3" s="10">
        <v>90</v>
      </c>
      <c r="C3" s="11">
        <v>2100000</v>
      </c>
      <c r="D3" s="12">
        <v>0</v>
      </c>
      <c r="E3" s="13">
        <v>0</v>
      </c>
      <c r="F3" s="13">
        <v>0</v>
      </c>
      <c r="G3" s="13"/>
    </row>
    <row r="4" spans="1:7" ht="0.75" customHeight="1" thickBot="1">
      <c r="A4" s="27" t="s">
        <v>7</v>
      </c>
      <c r="B4" s="15">
        <v>90</v>
      </c>
      <c r="C4" s="28">
        <f>C3</f>
        <v>2100000</v>
      </c>
      <c r="D4" s="12">
        <v>0</v>
      </c>
      <c r="E4" s="354">
        <f>B4*C4*5.5%/360</f>
        <v>28875</v>
      </c>
      <c r="F4" s="354">
        <v>0</v>
      </c>
      <c r="G4" s="354">
        <f>E3+E4</f>
        <v>28875</v>
      </c>
    </row>
    <row r="5" spans="1:7" s="2" customFormat="1" ht="15">
      <c r="A5" s="355" t="s">
        <v>8</v>
      </c>
      <c r="B5" s="356">
        <v>90</v>
      </c>
      <c r="C5" s="357">
        <f aca="true" t="shared" si="0" ref="C5:C39">C4-D4</f>
        <v>2100000</v>
      </c>
      <c r="D5" s="358">
        <v>12500</v>
      </c>
      <c r="E5" s="359">
        <f>B5*C5*0.07/360</f>
        <v>36750.00000000001</v>
      </c>
      <c r="F5" s="359"/>
      <c r="G5" s="359"/>
    </row>
    <row r="6" spans="1:8" ht="15">
      <c r="A6" s="360" t="s">
        <v>9</v>
      </c>
      <c r="B6" s="361">
        <v>90</v>
      </c>
      <c r="C6" s="362">
        <f t="shared" si="0"/>
        <v>2087500</v>
      </c>
      <c r="D6" s="363">
        <v>12500</v>
      </c>
      <c r="E6" s="364">
        <f>B6*C6*0.07/360</f>
        <v>36531.25000000001</v>
      </c>
      <c r="F6" s="364"/>
      <c r="G6" s="364"/>
      <c r="H6" s="14">
        <f>SUM(D5:D8)</f>
        <v>50000</v>
      </c>
    </row>
    <row r="7" spans="1:7" ht="15">
      <c r="A7" s="360" t="s">
        <v>10</v>
      </c>
      <c r="B7" s="361">
        <v>90</v>
      </c>
      <c r="C7" s="362">
        <f t="shared" si="0"/>
        <v>2075000</v>
      </c>
      <c r="D7" s="363">
        <f aca="true" t="shared" si="1" ref="D7:D25">D6</f>
        <v>12500</v>
      </c>
      <c r="E7" s="364">
        <f aca="true" t="shared" si="2" ref="E7:E40">B7*C7*0.07/360</f>
        <v>36312.50000000001</v>
      </c>
      <c r="F7" s="364"/>
      <c r="G7" s="364"/>
    </row>
    <row r="8" spans="1:7" ht="15.75" thickBot="1">
      <c r="A8" s="365" t="s">
        <v>11</v>
      </c>
      <c r="B8" s="366">
        <v>90</v>
      </c>
      <c r="C8" s="367">
        <f t="shared" si="0"/>
        <v>2062500</v>
      </c>
      <c r="D8" s="368">
        <f t="shared" si="1"/>
        <v>12500</v>
      </c>
      <c r="E8" s="369">
        <f>B8*C8*0.07/360</f>
        <v>36093.75000000001</v>
      </c>
      <c r="F8" s="369">
        <v>50000</v>
      </c>
      <c r="G8" s="369">
        <v>173688</v>
      </c>
    </row>
    <row r="9" spans="1:7" ht="15">
      <c r="A9" s="355" t="s">
        <v>12</v>
      </c>
      <c r="B9" s="356">
        <v>90</v>
      </c>
      <c r="C9" s="357">
        <f t="shared" si="0"/>
        <v>2050000</v>
      </c>
      <c r="D9" s="358">
        <f t="shared" si="1"/>
        <v>12500</v>
      </c>
      <c r="E9" s="359">
        <f t="shared" si="2"/>
        <v>35875.00000000001</v>
      </c>
      <c r="F9" s="359"/>
      <c r="G9" s="359"/>
    </row>
    <row r="10" spans="1:8" ht="15">
      <c r="A10" s="360" t="s">
        <v>13</v>
      </c>
      <c r="B10" s="361">
        <v>90</v>
      </c>
      <c r="C10" s="362">
        <f t="shared" si="0"/>
        <v>2037500</v>
      </c>
      <c r="D10" s="363">
        <f t="shared" si="1"/>
        <v>12500</v>
      </c>
      <c r="E10" s="364">
        <f t="shared" si="2"/>
        <v>35656.25000000001</v>
      </c>
      <c r="F10" s="364"/>
      <c r="G10" s="364"/>
      <c r="H10" s="14">
        <v>50000</v>
      </c>
    </row>
    <row r="11" spans="1:7" ht="15">
      <c r="A11" s="360" t="s">
        <v>14</v>
      </c>
      <c r="B11" s="361">
        <v>90</v>
      </c>
      <c r="C11" s="362">
        <f t="shared" si="0"/>
        <v>2025000</v>
      </c>
      <c r="D11" s="363">
        <f t="shared" si="1"/>
        <v>12500</v>
      </c>
      <c r="E11" s="364">
        <f t="shared" si="2"/>
        <v>35437.50000000001</v>
      </c>
      <c r="F11" s="364"/>
      <c r="G11" s="364"/>
    </row>
    <row r="12" spans="1:7" ht="15.75" thickBot="1">
      <c r="A12" s="365" t="s">
        <v>15</v>
      </c>
      <c r="B12" s="366">
        <v>90</v>
      </c>
      <c r="C12" s="367">
        <f t="shared" si="0"/>
        <v>2012500</v>
      </c>
      <c r="D12" s="368">
        <f t="shared" si="1"/>
        <v>12500</v>
      </c>
      <c r="E12" s="369">
        <f t="shared" si="2"/>
        <v>35218.75000000001</v>
      </c>
      <c r="F12" s="369">
        <f>SUM(D9:D12)</f>
        <v>50000</v>
      </c>
      <c r="G12" s="369">
        <v>170188</v>
      </c>
    </row>
    <row r="13" spans="1:7" ht="15">
      <c r="A13" s="355" t="s">
        <v>16</v>
      </c>
      <c r="B13" s="356">
        <v>90</v>
      </c>
      <c r="C13" s="357">
        <f t="shared" si="0"/>
        <v>2000000</v>
      </c>
      <c r="D13" s="358">
        <f t="shared" si="1"/>
        <v>12500</v>
      </c>
      <c r="E13" s="359">
        <f t="shared" si="2"/>
        <v>35000.00000000001</v>
      </c>
      <c r="F13" s="359"/>
      <c r="G13" s="359"/>
    </row>
    <row r="14" spans="1:8" ht="15">
      <c r="A14" s="360" t="s">
        <v>17</v>
      </c>
      <c r="B14" s="361">
        <v>90</v>
      </c>
      <c r="C14" s="362">
        <f t="shared" si="0"/>
        <v>1987500</v>
      </c>
      <c r="D14" s="363">
        <f t="shared" si="1"/>
        <v>12500</v>
      </c>
      <c r="E14" s="364">
        <f t="shared" si="2"/>
        <v>34781.25000000001</v>
      </c>
      <c r="F14" s="364"/>
      <c r="G14" s="364"/>
      <c r="H14" s="14">
        <v>50000</v>
      </c>
    </row>
    <row r="15" spans="1:7" ht="15">
      <c r="A15" s="360" t="s">
        <v>18</v>
      </c>
      <c r="B15" s="361">
        <v>90</v>
      </c>
      <c r="C15" s="362">
        <f t="shared" si="0"/>
        <v>1975000</v>
      </c>
      <c r="D15" s="363">
        <f t="shared" si="1"/>
        <v>12500</v>
      </c>
      <c r="E15" s="364">
        <f t="shared" si="2"/>
        <v>34562.50000000001</v>
      </c>
      <c r="F15" s="364"/>
      <c r="G15" s="364"/>
    </row>
    <row r="16" spans="1:7" ht="15.75" thickBot="1">
      <c r="A16" s="365" t="s">
        <v>19</v>
      </c>
      <c r="B16" s="366">
        <v>90</v>
      </c>
      <c r="C16" s="367">
        <f t="shared" si="0"/>
        <v>1962500</v>
      </c>
      <c r="D16" s="368">
        <f t="shared" si="1"/>
        <v>12500</v>
      </c>
      <c r="E16" s="369">
        <f>B16*C16*0.07/360</f>
        <v>34343.75000000001</v>
      </c>
      <c r="F16" s="369">
        <f>SUM(D13:D16)</f>
        <v>50000</v>
      </c>
      <c r="G16" s="369">
        <v>166688</v>
      </c>
    </row>
    <row r="17" spans="1:7" ht="15">
      <c r="A17" s="355" t="s">
        <v>20</v>
      </c>
      <c r="B17" s="356">
        <v>90</v>
      </c>
      <c r="C17" s="357">
        <f t="shared" si="0"/>
        <v>1950000</v>
      </c>
      <c r="D17" s="358">
        <f t="shared" si="1"/>
        <v>12500</v>
      </c>
      <c r="E17" s="359">
        <f t="shared" si="2"/>
        <v>34125.00000000001</v>
      </c>
      <c r="F17" s="359"/>
      <c r="G17" s="359"/>
    </row>
    <row r="18" spans="1:8" ht="15">
      <c r="A18" s="360" t="s">
        <v>21</v>
      </c>
      <c r="B18" s="361">
        <v>90</v>
      </c>
      <c r="C18" s="362">
        <f t="shared" si="0"/>
        <v>1937500</v>
      </c>
      <c r="D18" s="363">
        <f t="shared" si="1"/>
        <v>12500</v>
      </c>
      <c r="E18" s="364">
        <f t="shared" si="2"/>
        <v>33906.25000000001</v>
      </c>
      <c r="F18" s="364"/>
      <c r="G18" s="364"/>
      <c r="H18" s="14">
        <v>50000</v>
      </c>
    </row>
    <row r="19" spans="1:8" s="17" customFormat="1" ht="15">
      <c r="A19" s="370" t="s">
        <v>22</v>
      </c>
      <c r="B19" s="371">
        <v>90</v>
      </c>
      <c r="C19" s="362">
        <f t="shared" si="0"/>
        <v>1925000</v>
      </c>
      <c r="D19" s="363">
        <f t="shared" si="1"/>
        <v>12500</v>
      </c>
      <c r="E19" s="364">
        <f t="shared" si="2"/>
        <v>33687.50000000001</v>
      </c>
      <c r="F19" s="372"/>
      <c r="G19" s="372"/>
      <c r="H19" s="16"/>
    </row>
    <row r="20" spans="1:7" s="17" customFormat="1" ht="15.75" thickBot="1">
      <c r="A20" s="376" t="s">
        <v>23</v>
      </c>
      <c r="B20" s="377">
        <v>90</v>
      </c>
      <c r="C20" s="378">
        <f t="shared" si="0"/>
        <v>1912500</v>
      </c>
      <c r="D20" s="379">
        <f t="shared" si="1"/>
        <v>12500</v>
      </c>
      <c r="E20" s="380">
        <f t="shared" si="2"/>
        <v>33468.75000000001</v>
      </c>
      <c r="F20" s="381">
        <f>SUM(D17:D20)</f>
        <v>50000</v>
      </c>
      <c r="G20" s="381">
        <v>163188</v>
      </c>
    </row>
    <row r="21" spans="1:7" ht="15">
      <c r="A21" s="355" t="s">
        <v>24</v>
      </c>
      <c r="B21" s="356">
        <v>90</v>
      </c>
      <c r="C21" s="357">
        <f t="shared" si="0"/>
        <v>1900000</v>
      </c>
      <c r="D21" s="358">
        <f t="shared" si="1"/>
        <v>12500</v>
      </c>
      <c r="E21" s="359">
        <f t="shared" si="2"/>
        <v>33250.00000000001</v>
      </c>
      <c r="F21" s="359"/>
      <c r="G21" s="359"/>
    </row>
    <row r="22" spans="1:8" ht="15">
      <c r="A22" s="360" t="s">
        <v>25</v>
      </c>
      <c r="B22" s="361">
        <v>90</v>
      </c>
      <c r="C22" s="362">
        <f t="shared" si="0"/>
        <v>1887500</v>
      </c>
      <c r="D22" s="363">
        <f t="shared" si="1"/>
        <v>12500</v>
      </c>
      <c r="E22" s="364">
        <f t="shared" si="2"/>
        <v>33031.25000000001</v>
      </c>
      <c r="F22" s="364"/>
      <c r="G22" s="364"/>
      <c r="H22" s="14">
        <v>50000</v>
      </c>
    </row>
    <row r="23" spans="1:7" ht="15">
      <c r="A23" s="360" t="s">
        <v>26</v>
      </c>
      <c r="B23" s="361">
        <v>90</v>
      </c>
      <c r="C23" s="362">
        <f t="shared" si="0"/>
        <v>1875000</v>
      </c>
      <c r="D23" s="363">
        <f t="shared" si="1"/>
        <v>12500</v>
      </c>
      <c r="E23" s="364">
        <f t="shared" si="2"/>
        <v>32812.50000000001</v>
      </c>
      <c r="F23" s="364"/>
      <c r="G23" s="364"/>
    </row>
    <row r="24" spans="1:7" ht="15.75" thickBot="1">
      <c r="A24" s="365" t="s">
        <v>27</v>
      </c>
      <c r="B24" s="366">
        <v>90</v>
      </c>
      <c r="C24" s="367">
        <f t="shared" si="0"/>
        <v>1862500</v>
      </c>
      <c r="D24" s="368">
        <f t="shared" si="1"/>
        <v>12500</v>
      </c>
      <c r="E24" s="369">
        <f t="shared" si="2"/>
        <v>32593.750000000004</v>
      </c>
      <c r="F24" s="369">
        <f>SUM(D21:D24)</f>
        <v>50000</v>
      </c>
      <c r="G24" s="369">
        <v>159688</v>
      </c>
    </row>
    <row r="25" spans="1:7" s="17" customFormat="1" ht="15">
      <c r="A25" s="382" t="s">
        <v>28</v>
      </c>
      <c r="B25" s="383">
        <v>90</v>
      </c>
      <c r="C25" s="384">
        <f t="shared" si="0"/>
        <v>1850000</v>
      </c>
      <c r="D25" s="358">
        <f t="shared" si="1"/>
        <v>12500</v>
      </c>
      <c r="E25" s="359">
        <f t="shared" si="2"/>
        <v>32375.000000000004</v>
      </c>
      <c r="F25" s="385"/>
      <c r="G25" s="385"/>
    </row>
    <row r="26" spans="1:8" s="17" customFormat="1" ht="15">
      <c r="A26" s="370" t="s">
        <v>29</v>
      </c>
      <c r="B26" s="371">
        <v>90</v>
      </c>
      <c r="C26" s="386">
        <f t="shared" si="0"/>
        <v>1837500</v>
      </c>
      <c r="D26" s="363"/>
      <c r="E26" s="364">
        <f t="shared" si="2"/>
        <v>32156.250000000004</v>
      </c>
      <c r="F26" s="372"/>
      <c r="G26" s="372"/>
      <c r="H26" s="18">
        <f>SUM(D25:D28)</f>
        <v>25000</v>
      </c>
    </row>
    <row r="27" spans="1:7" s="17" customFormat="1" ht="15">
      <c r="A27" s="370" t="s">
        <v>30</v>
      </c>
      <c r="B27" s="371">
        <v>90</v>
      </c>
      <c r="C27" s="386">
        <f t="shared" si="0"/>
        <v>1837500</v>
      </c>
      <c r="D27" s="363">
        <v>12500</v>
      </c>
      <c r="E27" s="364">
        <f t="shared" si="2"/>
        <v>32156.250000000004</v>
      </c>
      <c r="F27" s="372"/>
      <c r="G27" s="372"/>
    </row>
    <row r="28" spans="1:7" s="17" customFormat="1" ht="15.75" thickBot="1">
      <c r="A28" s="373" t="s">
        <v>31</v>
      </c>
      <c r="B28" s="374">
        <v>90</v>
      </c>
      <c r="C28" s="387">
        <f t="shared" si="0"/>
        <v>1825000</v>
      </c>
      <c r="D28" s="368"/>
      <c r="E28" s="369">
        <f t="shared" si="2"/>
        <v>31937.500000000004</v>
      </c>
      <c r="F28" s="375">
        <f>SUM(D25:D28)</f>
        <v>25000</v>
      </c>
      <c r="G28" s="375">
        <f>SUM(E25:E28)</f>
        <v>128625.00000000001</v>
      </c>
    </row>
    <row r="29" spans="1:8" ht="15">
      <c r="A29" s="355" t="s">
        <v>32</v>
      </c>
      <c r="B29" s="356">
        <v>90</v>
      </c>
      <c r="C29" s="357">
        <f t="shared" si="0"/>
        <v>1825000</v>
      </c>
      <c r="D29" s="358">
        <v>12500</v>
      </c>
      <c r="E29" s="359">
        <f t="shared" si="2"/>
        <v>31937.500000000004</v>
      </c>
      <c r="F29" s="359"/>
      <c r="G29" s="359"/>
      <c r="H29" s="353">
        <f>C29/12</f>
        <v>152083.33333333334</v>
      </c>
    </row>
    <row r="30" spans="1:8" ht="15">
      <c r="A30" s="360" t="s">
        <v>33</v>
      </c>
      <c r="B30" s="361">
        <v>90</v>
      </c>
      <c r="C30" s="362">
        <f t="shared" si="0"/>
        <v>1812500</v>
      </c>
      <c r="D30" s="363">
        <v>12500</v>
      </c>
      <c r="E30" s="364">
        <f t="shared" si="2"/>
        <v>31718.750000000004</v>
      </c>
      <c r="F30" s="364"/>
      <c r="G30" s="364"/>
      <c r="H30" s="14">
        <f>SUM(D29:D32)</f>
        <v>50528</v>
      </c>
    </row>
    <row r="31" spans="1:7" ht="15">
      <c r="A31" s="360" t="s">
        <v>34</v>
      </c>
      <c r="B31" s="361">
        <v>90</v>
      </c>
      <c r="C31" s="362">
        <f t="shared" si="0"/>
        <v>1800000</v>
      </c>
      <c r="D31" s="363">
        <v>13028</v>
      </c>
      <c r="E31" s="364">
        <f t="shared" si="2"/>
        <v>31500.000000000004</v>
      </c>
      <c r="F31" s="364"/>
      <c r="G31" s="364"/>
    </row>
    <row r="32" spans="1:7" ht="15.75" thickBot="1">
      <c r="A32" s="365" t="s">
        <v>35</v>
      </c>
      <c r="B32" s="366">
        <v>90</v>
      </c>
      <c r="C32" s="367">
        <f t="shared" si="0"/>
        <v>1786972</v>
      </c>
      <c r="D32" s="368">
        <v>12500</v>
      </c>
      <c r="E32" s="369">
        <f t="shared" si="2"/>
        <v>31272.010000000006</v>
      </c>
      <c r="F32" s="369">
        <f>SUM(D29:D32)</f>
        <v>50528</v>
      </c>
      <c r="G32" s="369">
        <f>SUM(E29:E32)</f>
        <v>126428.26000000002</v>
      </c>
    </row>
    <row r="33" spans="1:7" s="17" customFormat="1" ht="15">
      <c r="A33" s="382" t="s">
        <v>36</v>
      </c>
      <c r="B33" s="383">
        <v>90</v>
      </c>
      <c r="C33" s="384">
        <f t="shared" si="0"/>
        <v>1774472</v>
      </c>
      <c r="D33" s="388">
        <v>150000</v>
      </c>
      <c r="E33" s="385">
        <f t="shared" si="2"/>
        <v>31053.260000000006</v>
      </c>
      <c r="F33" s="385"/>
      <c r="G33" s="385"/>
    </row>
    <row r="34" spans="1:8" s="17" customFormat="1" ht="15">
      <c r="A34" s="370" t="s">
        <v>37</v>
      </c>
      <c r="B34" s="371">
        <v>90</v>
      </c>
      <c r="C34" s="386">
        <f t="shared" si="0"/>
        <v>1624472</v>
      </c>
      <c r="D34" s="389">
        <f>D33</f>
        <v>150000</v>
      </c>
      <c r="E34" s="372">
        <f t="shared" si="2"/>
        <v>28428.260000000006</v>
      </c>
      <c r="F34" s="372"/>
      <c r="G34" s="372"/>
      <c r="H34" s="18">
        <f>SUM(D33:D36)</f>
        <v>750523</v>
      </c>
    </row>
    <row r="35" spans="1:7" s="17" customFormat="1" ht="15">
      <c r="A35" s="370" t="s">
        <v>38</v>
      </c>
      <c r="B35" s="371">
        <v>90</v>
      </c>
      <c r="C35" s="386">
        <f t="shared" si="0"/>
        <v>1474472</v>
      </c>
      <c r="D35" s="389">
        <v>225000</v>
      </c>
      <c r="E35" s="372">
        <f t="shared" si="2"/>
        <v>25803.260000000006</v>
      </c>
      <c r="F35" s="372"/>
      <c r="G35" s="372"/>
    </row>
    <row r="36" spans="1:7" s="17" customFormat="1" ht="15.75" thickBot="1">
      <c r="A36" s="376" t="s">
        <v>39</v>
      </c>
      <c r="B36" s="377">
        <v>90</v>
      </c>
      <c r="C36" s="391">
        <f t="shared" si="0"/>
        <v>1249472</v>
      </c>
      <c r="D36" s="392">
        <v>225523</v>
      </c>
      <c r="E36" s="381">
        <f t="shared" si="2"/>
        <v>21865.760000000002</v>
      </c>
      <c r="F36" s="381">
        <f>SUM(D33:D36)</f>
        <v>750523</v>
      </c>
      <c r="G36" s="381">
        <f>SUM(E33:E36)</f>
        <v>107150.54000000001</v>
      </c>
    </row>
    <row r="37" spans="1:7" ht="15">
      <c r="A37" s="355" t="s">
        <v>40</v>
      </c>
      <c r="B37" s="356">
        <v>90</v>
      </c>
      <c r="C37" s="357">
        <f t="shared" si="0"/>
        <v>1023949</v>
      </c>
      <c r="D37" s="388">
        <v>150000</v>
      </c>
      <c r="E37" s="359">
        <f>B37*C37*0.07/360</f>
        <v>17919.107500000002</v>
      </c>
      <c r="F37" s="359"/>
      <c r="G37" s="359"/>
    </row>
    <row r="38" spans="1:8" ht="15">
      <c r="A38" s="360" t="s">
        <v>41</v>
      </c>
      <c r="B38" s="361">
        <v>90</v>
      </c>
      <c r="C38" s="362">
        <f t="shared" si="0"/>
        <v>873949</v>
      </c>
      <c r="D38" s="389">
        <v>150000</v>
      </c>
      <c r="E38" s="364">
        <f t="shared" si="2"/>
        <v>15294.1075</v>
      </c>
      <c r="F38" s="364"/>
      <c r="G38" s="364"/>
      <c r="H38" s="14">
        <f>SUM(D37:D40)</f>
        <v>600000</v>
      </c>
    </row>
    <row r="39" spans="1:7" ht="15">
      <c r="A39" s="360" t="s">
        <v>42</v>
      </c>
      <c r="B39" s="361">
        <v>90</v>
      </c>
      <c r="C39" s="362">
        <f t="shared" si="0"/>
        <v>723949</v>
      </c>
      <c r="D39" s="389">
        <v>150000</v>
      </c>
      <c r="E39" s="364">
        <f t="shared" si="2"/>
        <v>12669.1075</v>
      </c>
      <c r="F39" s="364"/>
      <c r="G39" s="364"/>
    </row>
    <row r="40" spans="1:7" ht="15.75" thickBot="1">
      <c r="A40" s="365" t="s">
        <v>43</v>
      </c>
      <c r="B40" s="366">
        <v>90</v>
      </c>
      <c r="C40" s="367">
        <f>C39-D39</f>
        <v>573949</v>
      </c>
      <c r="D40" s="390">
        <f>D39</f>
        <v>150000</v>
      </c>
      <c r="E40" s="369">
        <f t="shared" si="2"/>
        <v>10044.1075</v>
      </c>
      <c r="F40" s="369">
        <f>SUM(D37:D40)</f>
        <v>600000</v>
      </c>
      <c r="G40" s="369">
        <f>SUM(E37:E40)</f>
        <v>55926.43</v>
      </c>
    </row>
    <row r="41" spans="1:7" ht="15">
      <c r="A41" s="355" t="s">
        <v>44</v>
      </c>
      <c r="B41" s="356">
        <v>90</v>
      </c>
      <c r="C41" s="357">
        <f>C40-D40</f>
        <v>423949</v>
      </c>
      <c r="D41" s="388">
        <v>100000</v>
      </c>
      <c r="E41" s="359">
        <f>B41*C41*0.07/360</f>
        <v>7419.1075</v>
      </c>
      <c r="F41" s="359"/>
      <c r="G41" s="359"/>
    </row>
    <row r="42" spans="1:8" ht="15">
      <c r="A42" s="360" t="s">
        <v>45</v>
      </c>
      <c r="B42" s="361">
        <v>90</v>
      </c>
      <c r="C42" s="362">
        <f>C41-D41</f>
        <v>323949</v>
      </c>
      <c r="D42" s="389">
        <v>100000</v>
      </c>
      <c r="E42" s="364">
        <f>B42*C42*0.07/360</f>
        <v>5669.1075</v>
      </c>
      <c r="F42" s="364"/>
      <c r="G42" s="364"/>
      <c r="H42" s="14">
        <f>SUM(D41:D44)</f>
        <v>423949</v>
      </c>
    </row>
    <row r="43" spans="1:7" ht="15">
      <c r="A43" s="360" t="s">
        <v>46</v>
      </c>
      <c r="B43" s="361">
        <v>90</v>
      </c>
      <c r="C43" s="362">
        <f>C42-D42</f>
        <v>223949</v>
      </c>
      <c r="D43" s="389">
        <v>123949</v>
      </c>
      <c r="E43" s="364">
        <f>B43*C43*0.07/360</f>
        <v>3919.1075000000005</v>
      </c>
      <c r="F43" s="364"/>
      <c r="G43" s="364"/>
    </row>
    <row r="44" spans="1:7" ht="15.75" thickBot="1">
      <c r="A44" s="365" t="s">
        <v>47</v>
      </c>
      <c r="B44" s="366">
        <v>90</v>
      </c>
      <c r="C44" s="367">
        <f>C43-D43</f>
        <v>100000</v>
      </c>
      <c r="D44" s="390">
        <v>100000</v>
      </c>
      <c r="E44" s="369">
        <f>B44*C44*0.07/360</f>
        <v>1750.0000000000002</v>
      </c>
      <c r="F44" s="369">
        <f>SUM(D41:D44)</f>
        <v>423949</v>
      </c>
      <c r="G44" s="369">
        <f>SUM(E41:E44)</f>
        <v>18757.322500000002</v>
      </c>
    </row>
    <row r="45" spans="4:6" ht="12.75">
      <c r="D45" s="14">
        <f>SUM(D5:D44)</f>
        <v>2100000</v>
      </c>
      <c r="F45" s="14">
        <f>SUM(F8+F12+F16+F20+F24++F28+F32+F36+F40+F44)</f>
        <v>2100000</v>
      </c>
    </row>
    <row r="46" spans="6:8" ht="12.75">
      <c r="F46" s="14">
        <f>F45-C3</f>
        <v>0</v>
      </c>
      <c r="H46" s="14">
        <f>SUM(H42,H38,H34,H30,H26,H22,H14,H10,H6,H18)</f>
        <v>2100000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zoomScale="90" zoomScaleNormal="90" zoomScalePageLayoutView="0" workbookViewId="0" topLeftCell="A16">
      <selection activeCell="K46" sqref="K46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1.28125" style="0" customWidth="1"/>
    <col min="5" max="5" width="12.28125" style="2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1.00390625" style="0" bestFit="1" customWidth="1"/>
    <col min="11" max="11" width="11.421875" style="0" customWidth="1"/>
  </cols>
  <sheetData>
    <row r="1" spans="1:11" ht="26.25" customHeight="1">
      <c r="A1" s="540" t="s">
        <v>232</v>
      </c>
      <c r="B1" s="540"/>
      <c r="C1" s="540"/>
      <c r="D1" s="540"/>
      <c r="E1" s="540"/>
      <c r="F1" s="540"/>
      <c r="G1" s="547"/>
      <c r="H1" s="543" t="s">
        <v>237</v>
      </c>
      <c r="I1" s="545" t="s">
        <v>236</v>
      </c>
      <c r="J1" s="541" t="s">
        <v>234</v>
      </c>
      <c r="K1" s="542"/>
    </row>
    <row r="2" spans="1:11" ht="24" customHeight="1" thickBot="1">
      <c r="A2" s="548"/>
      <c r="B2" s="548"/>
      <c r="C2" s="548"/>
      <c r="D2" s="548"/>
      <c r="E2" s="548"/>
      <c r="F2" s="548"/>
      <c r="G2" s="549"/>
      <c r="H2" s="544"/>
      <c r="I2" s="546"/>
      <c r="J2" s="432" t="s">
        <v>238</v>
      </c>
      <c r="K2" s="433" t="s">
        <v>3</v>
      </c>
    </row>
    <row r="3" spans="1:11" ht="21.75" customHeight="1" thickBot="1">
      <c r="A3" s="3" t="s">
        <v>0</v>
      </c>
      <c r="B3" s="4"/>
      <c r="C3" s="5" t="s">
        <v>1</v>
      </c>
      <c r="D3" s="6" t="s">
        <v>2</v>
      </c>
      <c r="E3" s="7" t="s">
        <v>3</v>
      </c>
      <c r="F3" s="6" t="s">
        <v>4</v>
      </c>
      <c r="G3" s="393" t="s">
        <v>5</v>
      </c>
      <c r="H3" s="403"/>
      <c r="I3" s="403"/>
      <c r="J3" s="434"/>
      <c r="K3" s="434"/>
    </row>
    <row r="4" spans="1:11" ht="15">
      <c r="A4" s="9" t="s">
        <v>6</v>
      </c>
      <c r="B4" s="10">
        <v>90</v>
      </c>
      <c r="C4" s="11">
        <v>11500000</v>
      </c>
      <c r="D4" s="12"/>
      <c r="E4" s="13">
        <v>0</v>
      </c>
      <c r="F4" s="13">
        <v>0</v>
      </c>
      <c r="G4" s="394"/>
      <c r="H4" s="404">
        <v>2000000</v>
      </c>
      <c r="I4" s="404">
        <v>1265000</v>
      </c>
      <c r="J4" s="424">
        <f>H4+F4</f>
        <v>2000000</v>
      </c>
      <c r="K4" s="424">
        <f>I4</f>
        <v>1265000</v>
      </c>
    </row>
    <row r="5" spans="1:11" ht="0.75" customHeight="1" thickBot="1">
      <c r="A5" s="27" t="s">
        <v>7</v>
      </c>
      <c r="B5" s="15">
        <v>90</v>
      </c>
      <c r="C5" s="28">
        <f>C4</f>
        <v>11500000</v>
      </c>
      <c r="D5" s="12"/>
      <c r="E5" s="354">
        <f>B5*C5*5.5%/360</f>
        <v>158125</v>
      </c>
      <c r="F5" s="354">
        <v>0</v>
      </c>
      <c r="G5" s="395">
        <f>E4+E5</f>
        <v>158125</v>
      </c>
      <c r="H5" s="403"/>
      <c r="I5" s="403"/>
      <c r="J5" s="434"/>
      <c r="K5" s="434"/>
    </row>
    <row r="6" spans="1:11" s="2" customFormat="1" ht="15">
      <c r="A6" s="355" t="s">
        <v>8</v>
      </c>
      <c r="B6" s="356">
        <v>90</v>
      </c>
      <c r="C6" s="357">
        <f aca="true" t="shared" si="0" ref="C6:C40">C5-D5</f>
        <v>11500000</v>
      </c>
      <c r="D6" s="358"/>
      <c r="E6" s="359">
        <f>B6*C6*0.07/360</f>
        <v>201250</v>
      </c>
      <c r="F6" s="359"/>
      <c r="G6" s="396"/>
      <c r="H6" s="405"/>
      <c r="I6" s="405"/>
      <c r="J6" s="435"/>
      <c r="K6" s="435"/>
    </row>
    <row r="7" spans="1:11" ht="15">
      <c r="A7" s="360" t="s">
        <v>9</v>
      </c>
      <c r="B7" s="361">
        <v>90</v>
      </c>
      <c r="C7" s="362">
        <f t="shared" si="0"/>
        <v>11500000</v>
      </c>
      <c r="D7" s="363"/>
      <c r="E7" s="364">
        <f>B7*C7*0.07/360</f>
        <v>201250</v>
      </c>
      <c r="F7" s="364"/>
      <c r="G7" s="397"/>
      <c r="H7" s="404">
        <f>SUM(D6:D9)</f>
        <v>0</v>
      </c>
      <c r="I7" s="403"/>
      <c r="J7" s="434"/>
      <c r="K7" s="434"/>
    </row>
    <row r="8" spans="1:11" ht="15">
      <c r="A8" s="360" t="s">
        <v>10</v>
      </c>
      <c r="B8" s="361">
        <v>90</v>
      </c>
      <c r="C8" s="362">
        <f t="shared" si="0"/>
        <v>11500000</v>
      </c>
      <c r="D8" s="363"/>
      <c r="E8" s="364">
        <f aca="true" t="shared" si="1" ref="E8:E41">B8*C8*0.07/360</f>
        <v>201250</v>
      </c>
      <c r="F8" s="364"/>
      <c r="G8" s="397"/>
      <c r="H8" s="403"/>
      <c r="I8" s="403"/>
      <c r="J8" s="434"/>
      <c r="K8" s="434"/>
    </row>
    <row r="9" spans="1:11" ht="15.75" thickBot="1">
      <c r="A9" s="365" t="s">
        <v>11</v>
      </c>
      <c r="B9" s="366">
        <v>90</v>
      </c>
      <c r="C9" s="367">
        <f t="shared" si="0"/>
        <v>11500000</v>
      </c>
      <c r="D9" s="368"/>
      <c r="E9" s="369">
        <f t="shared" si="1"/>
        <v>201250</v>
      </c>
      <c r="F9" s="369">
        <f>D7+D8+D9+D6</f>
        <v>0</v>
      </c>
      <c r="G9" s="398">
        <f>SUM(E6:E9)</f>
        <v>805000</v>
      </c>
      <c r="H9" s="404">
        <v>3000000</v>
      </c>
      <c r="I9" s="404">
        <v>1155000</v>
      </c>
      <c r="J9" s="424">
        <f>H9+F9</f>
        <v>3000000</v>
      </c>
      <c r="K9" s="424">
        <f>I9+G9</f>
        <v>1960000</v>
      </c>
    </row>
    <row r="10" spans="1:11" ht="15">
      <c r="A10" s="355" t="s">
        <v>12</v>
      </c>
      <c r="B10" s="356">
        <v>90</v>
      </c>
      <c r="C10" s="357">
        <f t="shared" si="0"/>
        <v>11500000</v>
      </c>
      <c r="D10" s="358"/>
      <c r="E10" s="359">
        <f t="shared" si="1"/>
        <v>201250</v>
      </c>
      <c r="F10" s="359"/>
      <c r="G10" s="396"/>
      <c r="H10" s="403"/>
      <c r="I10" s="403"/>
      <c r="J10" s="424">
        <f aca="true" t="shared" si="2" ref="J10:J45">H10+F10</f>
        <v>0</v>
      </c>
      <c r="K10" s="424">
        <f aca="true" t="shared" si="3" ref="K10:K45">I10+G10</f>
        <v>0</v>
      </c>
    </row>
    <row r="11" spans="1:11" ht="15">
      <c r="A11" s="360" t="s">
        <v>13</v>
      </c>
      <c r="B11" s="361">
        <v>90</v>
      </c>
      <c r="C11" s="362">
        <f t="shared" si="0"/>
        <v>11500000</v>
      </c>
      <c r="D11" s="363"/>
      <c r="E11" s="364">
        <f t="shared" si="1"/>
        <v>201250</v>
      </c>
      <c r="F11" s="364"/>
      <c r="G11" s="397"/>
      <c r="H11" s="404"/>
      <c r="I11" s="403"/>
      <c r="J11" s="424">
        <f t="shared" si="2"/>
        <v>0</v>
      </c>
      <c r="K11" s="424">
        <f t="shared" si="3"/>
        <v>0</v>
      </c>
    </row>
    <row r="12" spans="1:11" ht="15">
      <c r="A12" s="360" t="s">
        <v>14</v>
      </c>
      <c r="B12" s="361">
        <v>90</v>
      </c>
      <c r="C12" s="362">
        <f t="shared" si="0"/>
        <v>11500000</v>
      </c>
      <c r="D12" s="363"/>
      <c r="E12" s="364">
        <f t="shared" si="1"/>
        <v>201250</v>
      </c>
      <c r="F12" s="364"/>
      <c r="G12" s="397"/>
      <c r="H12" s="403"/>
      <c r="I12" s="403"/>
      <c r="J12" s="424">
        <f t="shared" si="2"/>
        <v>0</v>
      </c>
      <c r="K12" s="424">
        <f t="shared" si="3"/>
        <v>0</v>
      </c>
    </row>
    <row r="13" spans="1:11" ht="15.75" thickBot="1">
      <c r="A13" s="365" t="s">
        <v>15</v>
      </c>
      <c r="B13" s="366">
        <v>90</v>
      </c>
      <c r="C13" s="367">
        <f t="shared" si="0"/>
        <v>11500000</v>
      </c>
      <c r="D13" s="368"/>
      <c r="E13" s="369">
        <f t="shared" si="1"/>
        <v>201250</v>
      </c>
      <c r="F13" s="369">
        <f>SUM(D10:D13)</f>
        <v>0</v>
      </c>
      <c r="G13" s="398">
        <f>SUM(E10:E13)</f>
        <v>805000</v>
      </c>
      <c r="H13" s="404">
        <v>3000000</v>
      </c>
      <c r="I13" s="404">
        <v>990000</v>
      </c>
      <c r="J13" s="424">
        <f t="shared" si="2"/>
        <v>3000000</v>
      </c>
      <c r="K13" s="424">
        <f t="shared" si="3"/>
        <v>1795000</v>
      </c>
    </row>
    <row r="14" spans="1:11" ht="15">
      <c r="A14" s="355" t="s">
        <v>16</v>
      </c>
      <c r="B14" s="356">
        <v>90</v>
      </c>
      <c r="C14" s="357">
        <f t="shared" si="0"/>
        <v>11500000</v>
      </c>
      <c r="D14" s="358"/>
      <c r="E14" s="359">
        <f t="shared" si="1"/>
        <v>201250</v>
      </c>
      <c r="F14" s="359"/>
      <c r="G14" s="396"/>
      <c r="H14" s="403"/>
      <c r="I14" s="404"/>
      <c r="J14" s="424">
        <f t="shared" si="2"/>
        <v>0</v>
      </c>
      <c r="K14" s="424">
        <f t="shared" si="3"/>
        <v>0</v>
      </c>
    </row>
    <row r="15" spans="1:11" ht="15">
      <c r="A15" s="360" t="s">
        <v>17</v>
      </c>
      <c r="B15" s="361">
        <v>90</v>
      </c>
      <c r="C15" s="362">
        <f t="shared" si="0"/>
        <v>11500000</v>
      </c>
      <c r="D15" s="363"/>
      <c r="E15" s="364">
        <f t="shared" si="1"/>
        <v>201250</v>
      </c>
      <c r="F15" s="364"/>
      <c r="G15" s="397"/>
      <c r="H15" s="404"/>
      <c r="I15" s="403"/>
      <c r="J15" s="424">
        <f t="shared" si="2"/>
        <v>0</v>
      </c>
      <c r="K15" s="424">
        <f t="shared" si="3"/>
        <v>0</v>
      </c>
    </row>
    <row r="16" spans="1:11" ht="15">
      <c r="A16" s="360" t="s">
        <v>18</v>
      </c>
      <c r="B16" s="361">
        <v>90</v>
      </c>
      <c r="C16" s="362">
        <f t="shared" si="0"/>
        <v>11500000</v>
      </c>
      <c r="D16" s="363"/>
      <c r="E16" s="364">
        <f t="shared" si="1"/>
        <v>201250</v>
      </c>
      <c r="F16" s="364"/>
      <c r="G16" s="397"/>
      <c r="H16" s="403"/>
      <c r="I16" s="403"/>
      <c r="J16" s="424">
        <f t="shared" si="2"/>
        <v>0</v>
      </c>
      <c r="K16" s="424">
        <f t="shared" si="3"/>
        <v>0</v>
      </c>
    </row>
    <row r="17" spans="1:11" ht="15.75" thickBot="1">
      <c r="A17" s="365" t="s">
        <v>19</v>
      </c>
      <c r="B17" s="366">
        <v>90</v>
      </c>
      <c r="C17" s="367">
        <f t="shared" si="0"/>
        <v>11500000</v>
      </c>
      <c r="D17" s="368"/>
      <c r="E17" s="369">
        <f t="shared" si="1"/>
        <v>201250</v>
      </c>
      <c r="F17" s="369">
        <f>SUM(D14:D17)</f>
        <v>0</v>
      </c>
      <c r="G17" s="398">
        <f>SUM(E14:E17)</f>
        <v>805000</v>
      </c>
      <c r="H17" s="404">
        <v>3000000</v>
      </c>
      <c r="I17" s="404">
        <v>825000</v>
      </c>
      <c r="J17" s="424">
        <f t="shared" si="2"/>
        <v>3000000</v>
      </c>
      <c r="K17" s="424">
        <f t="shared" si="3"/>
        <v>1630000</v>
      </c>
    </row>
    <row r="18" spans="1:30" ht="15">
      <c r="A18" s="355" t="s">
        <v>20</v>
      </c>
      <c r="B18" s="356">
        <v>90</v>
      </c>
      <c r="C18" s="357">
        <f t="shared" si="0"/>
        <v>11500000</v>
      </c>
      <c r="D18" s="358"/>
      <c r="E18" s="359">
        <f t="shared" si="1"/>
        <v>201250</v>
      </c>
      <c r="F18" s="359"/>
      <c r="G18" s="396"/>
      <c r="H18" s="403"/>
      <c r="I18" s="403"/>
      <c r="J18" s="424">
        <f t="shared" si="2"/>
        <v>0</v>
      </c>
      <c r="K18" s="424">
        <f t="shared" si="3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360" t="s">
        <v>21</v>
      </c>
      <c r="B19" s="361">
        <v>90</v>
      </c>
      <c r="C19" s="362">
        <f t="shared" si="0"/>
        <v>11500000</v>
      </c>
      <c r="D19" s="363"/>
      <c r="E19" s="364">
        <f t="shared" si="1"/>
        <v>201250</v>
      </c>
      <c r="F19" s="364"/>
      <c r="G19" s="397"/>
      <c r="H19" s="404"/>
      <c r="I19" s="403"/>
      <c r="J19" s="424">
        <f t="shared" si="2"/>
        <v>0</v>
      </c>
      <c r="K19" s="424">
        <f t="shared" si="3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15">
      <c r="A20" s="370" t="s">
        <v>22</v>
      </c>
      <c r="B20" s="371">
        <v>90</v>
      </c>
      <c r="C20" s="362">
        <f t="shared" si="0"/>
        <v>11500000</v>
      </c>
      <c r="D20" s="363"/>
      <c r="E20" s="364">
        <f t="shared" si="1"/>
        <v>201250</v>
      </c>
      <c r="F20" s="372"/>
      <c r="G20" s="399"/>
      <c r="H20" s="406"/>
      <c r="I20" s="407"/>
      <c r="J20" s="424">
        <f t="shared" si="2"/>
        <v>0</v>
      </c>
      <c r="K20" s="424">
        <f t="shared" si="3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.75" thickBot="1">
      <c r="A21" s="373" t="s">
        <v>23</v>
      </c>
      <c r="B21" s="374">
        <v>90</v>
      </c>
      <c r="C21" s="367">
        <f t="shared" si="0"/>
        <v>11500000</v>
      </c>
      <c r="D21" s="368"/>
      <c r="E21" s="369">
        <f t="shared" si="1"/>
        <v>201250</v>
      </c>
      <c r="F21" s="375">
        <f>SUM(D18:D21)</f>
        <v>0</v>
      </c>
      <c r="G21" s="400">
        <f>SUM(E18:E21)</f>
        <v>805000</v>
      </c>
      <c r="H21" s="404">
        <v>3000000</v>
      </c>
      <c r="I21" s="408">
        <v>660000</v>
      </c>
      <c r="J21" s="424">
        <f t="shared" si="2"/>
        <v>3000000</v>
      </c>
      <c r="K21" s="424">
        <f t="shared" si="3"/>
        <v>1465000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">
      <c r="A22" s="355" t="s">
        <v>24</v>
      </c>
      <c r="B22" s="356">
        <v>90</v>
      </c>
      <c r="C22" s="357">
        <f t="shared" si="0"/>
        <v>11500000</v>
      </c>
      <c r="D22" s="358"/>
      <c r="E22" s="359">
        <f t="shared" si="1"/>
        <v>201250</v>
      </c>
      <c r="F22" s="359"/>
      <c r="G22" s="396"/>
      <c r="H22" s="403"/>
      <c r="I22" s="403"/>
      <c r="J22" s="424">
        <f t="shared" si="2"/>
        <v>0</v>
      </c>
      <c r="K22" s="424">
        <f t="shared" si="3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360" t="s">
        <v>25</v>
      </c>
      <c r="B23" s="361">
        <v>90</v>
      </c>
      <c r="C23" s="362">
        <f t="shared" si="0"/>
        <v>11500000</v>
      </c>
      <c r="D23" s="363"/>
      <c r="E23" s="364">
        <f t="shared" si="1"/>
        <v>201250</v>
      </c>
      <c r="F23" s="364"/>
      <c r="G23" s="397"/>
      <c r="H23" s="404"/>
      <c r="I23" s="403"/>
      <c r="J23" s="424">
        <f t="shared" si="2"/>
        <v>0</v>
      </c>
      <c r="K23" s="424">
        <f t="shared" si="3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360" t="s">
        <v>26</v>
      </c>
      <c r="B24" s="361">
        <v>90</v>
      </c>
      <c r="C24" s="362">
        <f t="shared" si="0"/>
        <v>11500000</v>
      </c>
      <c r="D24" s="363"/>
      <c r="E24" s="364">
        <f t="shared" si="1"/>
        <v>201250</v>
      </c>
      <c r="F24" s="364"/>
      <c r="G24" s="397"/>
      <c r="H24" s="403"/>
      <c r="I24" s="403"/>
      <c r="J24" s="424">
        <f t="shared" si="2"/>
        <v>0</v>
      </c>
      <c r="K24" s="424">
        <f t="shared" si="3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thickBot="1">
      <c r="A25" s="365" t="s">
        <v>27</v>
      </c>
      <c r="B25" s="366">
        <v>90</v>
      </c>
      <c r="C25" s="367">
        <f t="shared" si="0"/>
        <v>11500000</v>
      </c>
      <c r="D25" s="368"/>
      <c r="E25" s="369">
        <f t="shared" si="1"/>
        <v>201250</v>
      </c>
      <c r="F25" s="369">
        <f>SUM(D22:D25)</f>
        <v>0</v>
      </c>
      <c r="G25" s="398">
        <f>SUM(E22:E25)</f>
        <v>805000</v>
      </c>
      <c r="H25" s="404">
        <v>3000000</v>
      </c>
      <c r="I25" s="404">
        <v>495000</v>
      </c>
      <c r="J25" s="424">
        <f t="shared" si="2"/>
        <v>3000000</v>
      </c>
      <c r="K25" s="424">
        <f t="shared" si="3"/>
        <v>1300000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382" t="s">
        <v>28</v>
      </c>
      <c r="B26" s="383">
        <v>90</v>
      </c>
      <c r="C26" s="384">
        <f t="shared" si="0"/>
        <v>11500000</v>
      </c>
      <c r="D26" s="358"/>
      <c r="E26" s="359">
        <f t="shared" si="1"/>
        <v>201250</v>
      </c>
      <c r="F26" s="385"/>
      <c r="G26" s="401"/>
      <c r="H26" s="407"/>
      <c r="I26" s="407"/>
      <c r="J26" s="424">
        <f t="shared" si="2"/>
        <v>0</v>
      </c>
      <c r="K26" s="424">
        <f t="shared" si="3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">
      <c r="A27" s="370" t="s">
        <v>29</v>
      </c>
      <c r="B27" s="371">
        <v>90</v>
      </c>
      <c r="C27" s="386">
        <f t="shared" si="0"/>
        <v>11500000</v>
      </c>
      <c r="D27" s="363"/>
      <c r="E27" s="364">
        <f t="shared" si="1"/>
        <v>201250</v>
      </c>
      <c r="F27" s="372"/>
      <c r="G27" s="399"/>
      <c r="H27" s="408"/>
      <c r="I27" s="407"/>
      <c r="J27" s="424">
        <f t="shared" si="2"/>
        <v>0</v>
      </c>
      <c r="K27" s="424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7" customFormat="1" ht="15">
      <c r="A28" s="370" t="s">
        <v>30</v>
      </c>
      <c r="B28" s="371">
        <v>90</v>
      </c>
      <c r="C28" s="386">
        <f t="shared" si="0"/>
        <v>11500000</v>
      </c>
      <c r="D28" s="363"/>
      <c r="E28" s="364">
        <f t="shared" si="1"/>
        <v>201250</v>
      </c>
      <c r="F28" s="372"/>
      <c r="G28" s="399"/>
      <c r="H28" s="407"/>
      <c r="I28" s="407"/>
      <c r="J28" s="424">
        <f t="shared" si="2"/>
        <v>0</v>
      </c>
      <c r="K28" s="424">
        <f t="shared" si="3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7" customFormat="1" ht="15.75" thickBot="1">
      <c r="A29" s="376" t="s">
        <v>31</v>
      </c>
      <c r="B29" s="377">
        <v>90</v>
      </c>
      <c r="C29" s="391">
        <f t="shared" si="0"/>
        <v>11500000</v>
      </c>
      <c r="D29" s="379"/>
      <c r="E29" s="380">
        <f t="shared" si="1"/>
        <v>201250</v>
      </c>
      <c r="F29" s="381">
        <f>SUM(D26:D29)</f>
        <v>0</v>
      </c>
      <c r="G29" s="402">
        <f>SUM(E26:E29)</f>
        <v>805000</v>
      </c>
      <c r="H29" s="404">
        <v>3000000</v>
      </c>
      <c r="I29" s="408">
        <v>360000</v>
      </c>
      <c r="J29" s="424">
        <f t="shared" si="2"/>
        <v>3000000</v>
      </c>
      <c r="K29" s="424">
        <f t="shared" si="3"/>
        <v>1165000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">
      <c r="A30" s="355" t="s">
        <v>32</v>
      </c>
      <c r="B30" s="356">
        <v>90</v>
      </c>
      <c r="C30" s="357">
        <f t="shared" si="0"/>
        <v>11500000</v>
      </c>
      <c r="D30" s="358">
        <v>500000</v>
      </c>
      <c r="E30" s="359">
        <f t="shared" si="1"/>
        <v>201250</v>
      </c>
      <c r="F30" s="359"/>
      <c r="G30" s="396"/>
      <c r="H30" s="409"/>
      <c r="I30" s="403"/>
      <c r="J30" s="424">
        <f t="shared" si="2"/>
        <v>0</v>
      </c>
      <c r="K30" s="424">
        <f t="shared" si="3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">
      <c r="A31" s="360" t="s">
        <v>33</v>
      </c>
      <c r="B31" s="361">
        <v>90</v>
      </c>
      <c r="C31" s="362">
        <f t="shared" si="0"/>
        <v>11000000</v>
      </c>
      <c r="D31" s="363">
        <v>500000</v>
      </c>
      <c r="E31" s="364">
        <f t="shared" si="1"/>
        <v>192500</v>
      </c>
      <c r="F31" s="364"/>
      <c r="G31" s="397"/>
      <c r="H31" s="404"/>
      <c r="I31" s="403"/>
      <c r="J31" s="424">
        <f t="shared" si="2"/>
        <v>0</v>
      </c>
      <c r="K31" s="424">
        <f t="shared" si="3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">
      <c r="A32" s="360" t="s">
        <v>34</v>
      </c>
      <c r="B32" s="361">
        <v>90</v>
      </c>
      <c r="C32" s="362">
        <f t="shared" si="0"/>
        <v>10500000</v>
      </c>
      <c r="D32" s="363">
        <v>500000</v>
      </c>
      <c r="E32" s="364">
        <f t="shared" si="1"/>
        <v>183750.00000000003</v>
      </c>
      <c r="F32" s="364"/>
      <c r="G32" s="397"/>
      <c r="H32" s="403"/>
      <c r="I32" s="403"/>
      <c r="J32" s="424">
        <f t="shared" si="2"/>
        <v>0</v>
      </c>
      <c r="K32" s="424">
        <f t="shared" si="3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thickBot="1">
      <c r="A33" s="365" t="s">
        <v>35</v>
      </c>
      <c r="B33" s="366">
        <v>90</v>
      </c>
      <c r="C33" s="367">
        <f t="shared" si="0"/>
        <v>10000000</v>
      </c>
      <c r="D33" s="368">
        <v>500000</v>
      </c>
      <c r="E33" s="369">
        <f t="shared" si="1"/>
        <v>175000.00000000003</v>
      </c>
      <c r="F33" s="369">
        <f>SUM(D30:D33)</f>
        <v>2000000</v>
      </c>
      <c r="G33" s="398">
        <f>SUM(E30:E33)</f>
        <v>752500</v>
      </c>
      <c r="H33" s="404">
        <v>3000000</v>
      </c>
      <c r="I33" s="404">
        <v>180000</v>
      </c>
      <c r="J33" s="424">
        <f t="shared" si="2"/>
        <v>5000000</v>
      </c>
      <c r="K33" s="424">
        <f t="shared" si="3"/>
        <v>932500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7" customFormat="1" ht="15">
      <c r="A34" s="382" t="s">
        <v>36</v>
      </c>
      <c r="B34" s="383">
        <v>90</v>
      </c>
      <c r="C34" s="384">
        <f t="shared" si="0"/>
        <v>9500000</v>
      </c>
      <c r="D34" s="388">
        <f>D33</f>
        <v>500000</v>
      </c>
      <c r="E34" s="385">
        <f t="shared" si="1"/>
        <v>166250.00000000003</v>
      </c>
      <c r="F34" s="385"/>
      <c r="G34" s="401"/>
      <c r="H34" s="407"/>
      <c r="I34" s="407"/>
      <c r="J34" s="424">
        <f t="shared" si="2"/>
        <v>0</v>
      </c>
      <c r="K34" s="424">
        <f t="shared" si="3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7" customFormat="1" ht="15">
      <c r="A35" s="370" t="s">
        <v>37</v>
      </c>
      <c r="B35" s="371">
        <v>90</v>
      </c>
      <c r="C35" s="386">
        <f t="shared" si="0"/>
        <v>9000000</v>
      </c>
      <c r="D35" s="389">
        <f>D34</f>
        <v>500000</v>
      </c>
      <c r="E35" s="372">
        <f t="shared" si="1"/>
        <v>157500.00000000003</v>
      </c>
      <c r="F35" s="372"/>
      <c r="G35" s="399"/>
      <c r="H35" s="408"/>
      <c r="I35" s="407"/>
      <c r="J35" s="424">
        <f t="shared" si="2"/>
        <v>0</v>
      </c>
      <c r="K35" s="424">
        <f t="shared" si="3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7" customFormat="1" ht="15">
      <c r="A36" s="370" t="s">
        <v>38</v>
      </c>
      <c r="B36" s="371">
        <v>90</v>
      </c>
      <c r="C36" s="386">
        <f t="shared" si="0"/>
        <v>8500000</v>
      </c>
      <c r="D36" s="389">
        <v>750000</v>
      </c>
      <c r="E36" s="372">
        <f t="shared" si="1"/>
        <v>148750.00000000003</v>
      </c>
      <c r="F36" s="372"/>
      <c r="G36" s="399"/>
      <c r="H36" s="407"/>
      <c r="I36" s="407"/>
      <c r="J36" s="424">
        <f t="shared" si="2"/>
        <v>0</v>
      </c>
      <c r="K36" s="424">
        <f t="shared" si="3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17" customFormat="1" ht="15.75" thickBot="1">
      <c r="A37" s="373" t="s">
        <v>39</v>
      </c>
      <c r="B37" s="374">
        <v>90</v>
      </c>
      <c r="C37" s="387">
        <f t="shared" si="0"/>
        <v>7750000</v>
      </c>
      <c r="D37" s="390">
        <v>950000</v>
      </c>
      <c r="E37" s="375">
        <f t="shared" si="1"/>
        <v>135625.00000000003</v>
      </c>
      <c r="F37" s="375">
        <f>SUM(D34:D37)</f>
        <v>2700000</v>
      </c>
      <c r="G37" s="400">
        <f>SUM(E34:E37)</f>
        <v>608125.0000000001</v>
      </c>
      <c r="H37" s="404"/>
      <c r="I37" s="407"/>
      <c r="J37" s="424">
        <f t="shared" si="2"/>
        <v>2700000</v>
      </c>
      <c r="K37" s="424">
        <f t="shared" si="3"/>
        <v>608125.0000000001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">
      <c r="A38" s="355" t="s">
        <v>40</v>
      </c>
      <c r="B38" s="356">
        <v>90</v>
      </c>
      <c r="C38" s="357">
        <f t="shared" si="0"/>
        <v>6800000</v>
      </c>
      <c r="D38" s="388">
        <v>500000</v>
      </c>
      <c r="E38" s="359">
        <f>B38*C38*0.07/360</f>
        <v>119000.00000000001</v>
      </c>
      <c r="F38" s="359"/>
      <c r="G38" s="396"/>
      <c r="H38" s="403"/>
      <c r="I38" s="403"/>
      <c r="J38" s="424">
        <f t="shared" si="2"/>
        <v>0</v>
      </c>
      <c r="K38" s="424">
        <f t="shared" si="3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">
      <c r="A39" s="360" t="s">
        <v>41</v>
      </c>
      <c r="B39" s="361">
        <v>90</v>
      </c>
      <c r="C39" s="362">
        <f t="shared" si="0"/>
        <v>6300000</v>
      </c>
      <c r="D39" s="389">
        <f>D38</f>
        <v>500000</v>
      </c>
      <c r="E39" s="364">
        <f t="shared" si="1"/>
        <v>110250.00000000001</v>
      </c>
      <c r="F39" s="364"/>
      <c r="G39" s="397"/>
      <c r="H39" s="404"/>
      <c r="I39" s="403"/>
      <c r="J39" s="424">
        <f t="shared" si="2"/>
        <v>0</v>
      </c>
      <c r="K39" s="424">
        <f t="shared" si="3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">
      <c r="A40" s="360" t="s">
        <v>42</v>
      </c>
      <c r="B40" s="361">
        <v>90</v>
      </c>
      <c r="C40" s="362">
        <f t="shared" si="0"/>
        <v>5800000</v>
      </c>
      <c r="D40" s="389">
        <v>750000</v>
      </c>
      <c r="E40" s="364">
        <f t="shared" si="1"/>
        <v>101500</v>
      </c>
      <c r="F40" s="364"/>
      <c r="G40" s="397"/>
      <c r="H40" s="403"/>
      <c r="I40" s="403"/>
      <c r="J40" s="424">
        <f t="shared" si="2"/>
        <v>0</v>
      </c>
      <c r="K40" s="424">
        <f t="shared" si="3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thickBot="1">
      <c r="A41" s="365" t="s">
        <v>43</v>
      </c>
      <c r="B41" s="366">
        <v>90</v>
      </c>
      <c r="C41" s="367">
        <f>C40-D40</f>
        <v>5050000</v>
      </c>
      <c r="D41" s="390">
        <v>950000</v>
      </c>
      <c r="E41" s="369">
        <f t="shared" si="1"/>
        <v>88375.00000000001</v>
      </c>
      <c r="F41" s="369">
        <f>SUM(D38:D41)</f>
        <v>2700000</v>
      </c>
      <c r="G41" s="398">
        <f>SUM(E38:E41)</f>
        <v>419125</v>
      </c>
      <c r="H41" s="404"/>
      <c r="I41" s="403"/>
      <c r="J41" s="424">
        <f t="shared" si="2"/>
        <v>2700000</v>
      </c>
      <c r="K41" s="424">
        <f t="shared" si="3"/>
        <v>419125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355" t="s">
        <v>44</v>
      </c>
      <c r="B42" s="356">
        <v>90</v>
      </c>
      <c r="C42" s="357">
        <f>C41-D41</f>
        <v>4100000</v>
      </c>
      <c r="D42" s="388">
        <v>1100000</v>
      </c>
      <c r="E42" s="359">
        <f>B42*C42*0.07/360</f>
        <v>71750.00000000001</v>
      </c>
      <c r="F42" s="359"/>
      <c r="G42" s="396"/>
      <c r="H42" s="403"/>
      <c r="I42" s="403"/>
      <c r="J42" s="424">
        <f t="shared" si="2"/>
        <v>0</v>
      </c>
      <c r="K42" s="424">
        <f t="shared" si="3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360" t="s">
        <v>45</v>
      </c>
      <c r="B43" s="361">
        <v>90</v>
      </c>
      <c r="C43" s="362">
        <f>C42-D42</f>
        <v>3000000</v>
      </c>
      <c r="D43" s="389">
        <v>1000000</v>
      </c>
      <c r="E43" s="364">
        <f>B43*C43*0.07/360</f>
        <v>52500</v>
      </c>
      <c r="F43" s="364"/>
      <c r="G43" s="397"/>
      <c r="H43" s="404"/>
      <c r="I43" s="403"/>
      <c r="J43" s="424">
        <f t="shared" si="2"/>
        <v>0</v>
      </c>
      <c r="K43" s="424">
        <f t="shared" si="3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">
      <c r="A44" s="360" t="s">
        <v>46</v>
      </c>
      <c r="B44" s="361">
        <v>90</v>
      </c>
      <c r="C44" s="362">
        <f>C43-D43</f>
        <v>2000000</v>
      </c>
      <c r="D44" s="389">
        <v>1000000</v>
      </c>
      <c r="E44" s="364">
        <f>B44*C44*0.07/360</f>
        <v>35000.00000000001</v>
      </c>
      <c r="F44" s="364"/>
      <c r="G44" s="397"/>
      <c r="H44" s="403"/>
      <c r="I44" s="403"/>
      <c r="J44" s="424">
        <f t="shared" si="2"/>
        <v>0</v>
      </c>
      <c r="K44" s="424">
        <f t="shared" si="3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thickBot="1">
      <c r="A45" s="365" t="s">
        <v>47</v>
      </c>
      <c r="B45" s="366">
        <v>90</v>
      </c>
      <c r="C45" s="367">
        <f>C44-D44</f>
        <v>1000000</v>
      </c>
      <c r="D45" s="390">
        <v>1000000</v>
      </c>
      <c r="E45" s="369">
        <f>B45*C45*0.07/360</f>
        <v>17500.000000000004</v>
      </c>
      <c r="F45" s="369">
        <f>SUM(D42:D45)</f>
        <v>4100000</v>
      </c>
      <c r="G45" s="398">
        <f>SUM(E42:E45)</f>
        <v>176750.00000000003</v>
      </c>
      <c r="H45" s="403"/>
      <c r="I45" s="403"/>
      <c r="J45" s="424">
        <f t="shared" si="2"/>
        <v>4100000</v>
      </c>
      <c r="K45" s="424">
        <f t="shared" si="3"/>
        <v>176750.00000000003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4:30" ht="12.75">
      <c r="D46" s="14">
        <f>SUM(D6:D45)</f>
        <v>11500000</v>
      </c>
      <c r="F46" s="14">
        <f aca="true" t="shared" si="4" ref="F46:K46">SUM(F9+F13+F17+F21+F25++F29+F33+F37+F41+F45+F4)</f>
        <v>11500000</v>
      </c>
      <c r="G46" s="14">
        <f t="shared" si="4"/>
        <v>6786500</v>
      </c>
      <c r="H46" s="14">
        <f t="shared" si="4"/>
        <v>23000000</v>
      </c>
      <c r="I46" s="14">
        <f t="shared" si="4"/>
        <v>5930000</v>
      </c>
      <c r="J46" s="14">
        <f t="shared" si="4"/>
        <v>34500000</v>
      </c>
      <c r="K46" s="14">
        <f t="shared" si="4"/>
        <v>12716500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6:30" ht="12.75">
      <c r="F47" s="14"/>
      <c r="H47" s="14"/>
      <c r="J47" s="436"/>
      <c r="K47" s="437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2:30" ht="12.75"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</sheetData>
  <sheetProtection/>
  <mergeCells count="4">
    <mergeCell ref="J1:K1"/>
    <mergeCell ref="H1:H2"/>
    <mergeCell ref="I1:I2"/>
    <mergeCell ref="A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46"/>
  <sheetViews>
    <sheetView zoomScale="90" zoomScaleNormal="90" zoomScalePageLayoutView="0" workbookViewId="0" topLeftCell="A15">
      <selection activeCell="K47" sqref="K47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1" width="10.28125" style="19" customWidth="1"/>
    <col min="12" max="36" width="9.00390625" style="19" customWidth="1"/>
  </cols>
  <sheetData>
    <row r="1" spans="1:7" ht="23.25" customHeight="1">
      <c r="A1" s="540" t="s">
        <v>239</v>
      </c>
      <c r="B1" s="540"/>
      <c r="C1" s="540"/>
      <c r="D1" s="540"/>
      <c r="E1" s="540"/>
      <c r="F1" s="540"/>
      <c r="G1" s="540"/>
    </row>
    <row r="2" spans="1:11" ht="8.25" customHeight="1" thickBot="1">
      <c r="A2" s="20"/>
      <c r="B2" s="21"/>
      <c r="C2" s="22"/>
      <c r="D2" s="22"/>
      <c r="E2" s="22"/>
      <c r="F2" s="22"/>
      <c r="G2" s="22"/>
      <c r="J2" s="550" t="s">
        <v>234</v>
      </c>
      <c r="K2" s="550"/>
    </row>
    <row r="3" spans="1:11" ht="30.75" customHeight="1" thickBot="1">
      <c r="A3" s="3" t="s">
        <v>0</v>
      </c>
      <c r="B3" s="4"/>
      <c r="C3" s="5" t="s">
        <v>1</v>
      </c>
      <c r="D3" s="5" t="s">
        <v>2</v>
      </c>
      <c r="E3" s="23" t="s">
        <v>3</v>
      </c>
      <c r="F3" s="5" t="s">
        <v>4</v>
      </c>
      <c r="G3" s="438" t="s">
        <v>5</v>
      </c>
      <c r="H3" s="449" t="s">
        <v>233</v>
      </c>
      <c r="I3" s="450" t="s">
        <v>3</v>
      </c>
      <c r="J3" s="423" t="s">
        <v>235</v>
      </c>
      <c r="K3" s="423" t="s">
        <v>3</v>
      </c>
    </row>
    <row r="4" spans="1:11" ht="15">
      <c r="A4" s="9" t="s">
        <v>6</v>
      </c>
      <c r="B4" s="10">
        <v>90</v>
      </c>
      <c r="C4" s="11">
        <v>0</v>
      </c>
      <c r="D4" s="24">
        <v>0</v>
      </c>
      <c r="E4" s="25">
        <v>0</v>
      </c>
      <c r="F4" s="25">
        <v>0</v>
      </c>
      <c r="G4" s="439"/>
      <c r="H4" s="451">
        <v>2141585</v>
      </c>
      <c r="I4" s="452">
        <v>733601</v>
      </c>
      <c r="J4" s="424">
        <f>H4+'spł poż'!F8</f>
        <v>2191585</v>
      </c>
      <c r="K4" s="424">
        <f>I4+'spł poż'!G8</f>
        <v>907289</v>
      </c>
    </row>
    <row r="5" spans="1:11" ht="0.75" customHeight="1" thickBot="1">
      <c r="A5" s="27" t="s">
        <v>7</v>
      </c>
      <c r="B5" s="15">
        <v>90</v>
      </c>
      <c r="C5" s="28">
        <f>C4</f>
        <v>0</v>
      </c>
      <c r="D5" s="24">
        <v>0</v>
      </c>
      <c r="E5" s="29">
        <f>B5*C5*5.5%/360</f>
        <v>0</v>
      </c>
      <c r="F5" s="29">
        <v>0</v>
      </c>
      <c r="G5" s="440">
        <f>E4+E5</f>
        <v>0</v>
      </c>
      <c r="H5" s="453"/>
      <c r="I5" s="454"/>
      <c r="J5" s="425"/>
      <c r="K5" s="425"/>
    </row>
    <row r="6" spans="1:36" s="2" customFormat="1" ht="15">
      <c r="A6" s="355" t="s">
        <v>8</v>
      </c>
      <c r="B6" s="356">
        <v>90</v>
      </c>
      <c r="C6" s="357">
        <f>C5-D5</f>
        <v>0</v>
      </c>
      <c r="D6" s="357">
        <v>0</v>
      </c>
      <c r="E6" s="411">
        <f>B6*C6*5.5%/360</f>
        <v>0</v>
      </c>
      <c r="F6" s="411"/>
      <c r="G6" s="441"/>
      <c r="H6" s="455"/>
      <c r="I6" s="456"/>
      <c r="J6" s="426"/>
      <c r="K6" s="4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11" ht="15">
      <c r="A7" s="360" t="s">
        <v>9</v>
      </c>
      <c r="B7" s="361">
        <v>90</v>
      </c>
      <c r="C7" s="362">
        <f>C6-D6</f>
        <v>0</v>
      </c>
      <c r="D7" s="362">
        <v>0</v>
      </c>
      <c r="E7" s="412">
        <f>B7*C7*5.5%/360</f>
        <v>0</v>
      </c>
      <c r="F7" s="412"/>
      <c r="G7" s="442"/>
      <c r="H7" s="453"/>
      <c r="I7" s="454"/>
      <c r="J7" s="427"/>
      <c r="K7" s="427"/>
    </row>
    <row r="8" spans="1:11" ht="15">
      <c r="A8" s="360" t="s">
        <v>10</v>
      </c>
      <c r="B8" s="361">
        <v>90</v>
      </c>
      <c r="C8" s="362">
        <f>C7-D7</f>
        <v>0</v>
      </c>
      <c r="D8" s="362">
        <v>0</v>
      </c>
      <c r="E8" s="412">
        <f>B8*C8*5.5%/360</f>
        <v>0</v>
      </c>
      <c r="F8" s="412"/>
      <c r="G8" s="442"/>
      <c r="H8" s="453"/>
      <c r="I8" s="454"/>
      <c r="J8" s="427"/>
      <c r="K8" s="427"/>
    </row>
    <row r="9" spans="1:11" ht="15.75" thickBot="1">
      <c r="A9" s="365" t="s">
        <v>11</v>
      </c>
      <c r="B9" s="366">
        <v>90</v>
      </c>
      <c r="C9" s="367"/>
      <c r="D9" s="367">
        <v>0</v>
      </c>
      <c r="E9" s="413"/>
      <c r="F9" s="414">
        <f>D7+D8+D9</f>
        <v>0</v>
      </c>
      <c r="G9" s="443"/>
      <c r="H9" s="457">
        <v>3485040</v>
      </c>
      <c r="I9" s="458">
        <v>697952</v>
      </c>
      <c r="J9" s="428">
        <f>H9+F9+'spł poż'!F8</f>
        <v>3535040</v>
      </c>
      <c r="K9" s="428">
        <f>I9+G9+'spł poż'!G8</f>
        <v>871640</v>
      </c>
    </row>
    <row r="10" spans="1:11" ht="15">
      <c r="A10" s="355" t="s">
        <v>12</v>
      </c>
      <c r="B10" s="356">
        <v>90</v>
      </c>
      <c r="C10" s="357">
        <f>C9-D9</f>
        <v>0</v>
      </c>
      <c r="D10" s="357"/>
      <c r="E10" s="411">
        <f>B10*C10*0.07/360</f>
        <v>0</v>
      </c>
      <c r="F10" s="411"/>
      <c r="G10" s="441"/>
      <c r="H10" s="453"/>
      <c r="I10" s="454"/>
      <c r="J10" s="429">
        <f>H10+F10+'spł poż'!F9</f>
        <v>0</v>
      </c>
      <c r="K10" s="429">
        <f>I10+G10+'spł poż'!G9</f>
        <v>0</v>
      </c>
    </row>
    <row r="11" spans="1:11" ht="15">
      <c r="A11" s="360" t="s">
        <v>13</v>
      </c>
      <c r="B11" s="361">
        <v>90</v>
      </c>
      <c r="C11" s="362">
        <f aca="true" t="shared" si="0" ref="C11:C44">C10-D10</f>
        <v>0</v>
      </c>
      <c r="D11" s="362"/>
      <c r="E11" s="412">
        <f aca="true" t="shared" si="1" ref="E11:E41">B11*C11*0.07/360</f>
        <v>0</v>
      </c>
      <c r="F11" s="412"/>
      <c r="G11" s="442"/>
      <c r="H11" s="453"/>
      <c r="I11" s="454"/>
      <c r="J11" s="430">
        <f>H11+F11+'spł poż'!F10</f>
        <v>0</v>
      </c>
      <c r="K11" s="430">
        <f>I11+G11+'spł poż'!G10</f>
        <v>0</v>
      </c>
    </row>
    <row r="12" spans="1:11" ht="15">
      <c r="A12" s="360" t="s">
        <v>14</v>
      </c>
      <c r="B12" s="361">
        <v>90</v>
      </c>
      <c r="C12" s="362">
        <f t="shared" si="0"/>
        <v>0</v>
      </c>
      <c r="D12" s="362"/>
      <c r="E12" s="412">
        <f t="shared" si="1"/>
        <v>0</v>
      </c>
      <c r="F12" s="412"/>
      <c r="G12" s="442"/>
      <c r="H12" s="453"/>
      <c r="I12" s="454"/>
      <c r="J12" s="430">
        <f>H12+F12+'spł poż'!F11</f>
        <v>0</v>
      </c>
      <c r="K12" s="430">
        <f>I12+G12+'spł poż'!G11</f>
        <v>0</v>
      </c>
    </row>
    <row r="13" spans="1:11" ht="15.75" thickBot="1">
      <c r="A13" s="365" t="s">
        <v>15</v>
      </c>
      <c r="B13" s="366">
        <v>90</v>
      </c>
      <c r="C13" s="367">
        <f t="shared" si="0"/>
        <v>0</v>
      </c>
      <c r="D13" s="367"/>
      <c r="E13" s="414">
        <f t="shared" si="1"/>
        <v>0</v>
      </c>
      <c r="F13" s="414">
        <f>SUM(D10:D13)</f>
        <v>0</v>
      </c>
      <c r="G13" s="443">
        <f>SUM(E10:E13)</f>
        <v>0</v>
      </c>
      <c r="H13" s="457">
        <v>3616899</v>
      </c>
      <c r="I13" s="458">
        <v>575506</v>
      </c>
      <c r="J13" s="428">
        <f>H13+F13+'spł poż'!F12</f>
        <v>3666899</v>
      </c>
      <c r="K13" s="428">
        <f>I13+G13+'spł poż'!G12</f>
        <v>745694</v>
      </c>
    </row>
    <row r="14" spans="1:11" ht="15">
      <c r="A14" s="355" t="s">
        <v>16</v>
      </c>
      <c r="B14" s="356">
        <v>90</v>
      </c>
      <c r="C14" s="357">
        <f t="shared" si="0"/>
        <v>0</v>
      </c>
      <c r="D14" s="357"/>
      <c r="E14" s="411">
        <f t="shared" si="1"/>
        <v>0</v>
      </c>
      <c r="F14" s="411"/>
      <c r="G14" s="441"/>
      <c r="H14" s="453"/>
      <c r="I14" s="454"/>
      <c r="J14" s="429">
        <f>H14+F14+'spł poż'!F13</f>
        <v>0</v>
      </c>
      <c r="K14" s="429">
        <f>I14+G14+'spł poż'!G13</f>
        <v>0</v>
      </c>
    </row>
    <row r="15" spans="1:11" ht="15">
      <c r="A15" s="360" t="s">
        <v>17</v>
      </c>
      <c r="B15" s="361">
        <v>90</v>
      </c>
      <c r="C15" s="362">
        <f t="shared" si="0"/>
        <v>0</v>
      </c>
      <c r="D15" s="362"/>
      <c r="E15" s="412">
        <f t="shared" si="1"/>
        <v>0</v>
      </c>
      <c r="F15" s="412"/>
      <c r="G15" s="442"/>
      <c r="H15" s="453"/>
      <c r="I15" s="454"/>
      <c r="J15" s="430">
        <f>H15+F15+'spł poż'!F14</f>
        <v>0</v>
      </c>
      <c r="K15" s="430">
        <f>I15+G15+'spł poż'!G14</f>
        <v>0</v>
      </c>
    </row>
    <row r="16" spans="1:11" ht="15">
      <c r="A16" s="360" t="s">
        <v>18</v>
      </c>
      <c r="B16" s="361">
        <v>90</v>
      </c>
      <c r="C16" s="362">
        <f t="shared" si="0"/>
        <v>0</v>
      </c>
      <c r="D16" s="362"/>
      <c r="E16" s="412">
        <f t="shared" si="1"/>
        <v>0</v>
      </c>
      <c r="F16" s="412"/>
      <c r="G16" s="442"/>
      <c r="H16" s="453"/>
      <c r="I16" s="454"/>
      <c r="J16" s="430">
        <f>H16+F16+'spł poż'!F15</f>
        <v>0</v>
      </c>
      <c r="K16" s="430">
        <f>I16+G16+'spł poż'!G15</f>
        <v>0</v>
      </c>
    </row>
    <row r="17" spans="1:11" ht="15.75" thickBot="1">
      <c r="A17" s="365" t="s">
        <v>19</v>
      </c>
      <c r="B17" s="366">
        <v>90</v>
      </c>
      <c r="C17" s="367">
        <f t="shared" si="0"/>
        <v>0</v>
      </c>
      <c r="D17" s="367"/>
      <c r="E17" s="414">
        <f t="shared" si="1"/>
        <v>0</v>
      </c>
      <c r="F17" s="414">
        <f>SUM(D14:D17)</f>
        <v>0</v>
      </c>
      <c r="G17" s="443">
        <f>SUM(E14:E17)</f>
        <v>0</v>
      </c>
      <c r="H17" s="457">
        <v>3456453</v>
      </c>
      <c r="I17" s="458">
        <v>349963</v>
      </c>
      <c r="J17" s="428">
        <f>H17+F17+'spł poż'!F16</f>
        <v>3506453</v>
      </c>
      <c r="K17" s="428">
        <f>I17+G17+'spł poż'!G16</f>
        <v>516651</v>
      </c>
    </row>
    <row r="18" spans="1:11" ht="15">
      <c r="A18" s="355" t="s">
        <v>20</v>
      </c>
      <c r="B18" s="356">
        <v>90</v>
      </c>
      <c r="C18" s="357">
        <f t="shared" si="0"/>
        <v>0</v>
      </c>
      <c r="D18" s="357">
        <f>D17</f>
        <v>0</v>
      </c>
      <c r="E18" s="411">
        <f t="shared" si="1"/>
        <v>0</v>
      </c>
      <c r="F18" s="411"/>
      <c r="G18" s="441"/>
      <c r="H18" s="453"/>
      <c r="I18" s="454"/>
      <c r="J18" s="429">
        <f>H18+F18+'spł poż'!F17</f>
        <v>0</v>
      </c>
      <c r="K18" s="429">
        <f>I18+G18+'spł poż'!G17</f>
        <v>0</v>
      </c>
    </row>
    <row r="19" spans="1:11" ht="15">
      <c r="A19" s="360" t="s">
        <v>21</v>
      </c>
      <c r="B19" s="361">
        <v>90</v>
      </c>
      <c r="C19" s="362">
        <f t="shared" si="0"/>
        <v>0</v>
      </c>
      <c r="D19" s="362"/>
      <c r="E19" s="412">
        <f t="shared" si="1"/>
        <v>0</v>
      </c>
      <c r="F19" s="412"/>
      <c r="G19" s="442"/>
      <c r="H19" s="453"/>
      <c r="I19" s="454"/>
      <c r="J19" s="430">
        <f>H19+F19+'spł poż'!F18</f>
        <v>0</v>
      </c>
      <c r="K19" s="430">
        <f>I19+G19+'spł poż'!G18</f>
        <v>0</v>
      </c>
    </row>
    <row r="20" spans="1:36" s="17" customFormat="1" ht="15">
      <c r="A20" s="370" t="s">
        <v>22</v>
      </c>
      <c r="B20" s="371">
        <v>90</v>
      </c>
      <c r="C20" s="362">
        <f t="shared" si="0"/>
        <v>0</v>
      </c>
      <c r="D20" s="362"/>
      <c r="E20" s="412">
        <f t="shared" si="1"/>
        <v>0</v>
      </c>
      <c r="F20" s="415"/>
      <c r="G20" s="444"/>
      <c r="H20" s="453"/>
      <c r="I20" s="454"/>
      <c r="J20" s="430">
        <f>H20+F20+'spł poż'!F19</f>
        <v>0</v>
      </c>
      <c r="K20" s="430">
        <f>I20+G20+'spł poż'!G19</f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s="17" customFormat="1" ht="15.75" thickBot="1">
      <c r="A21" s="376" t="s">
        <v>23</v>
      </c>
      <c r="B21" s="377">
        <v>90</v>
      </c>
      <c r="C21" s="378">
        <f t="shared" si="0"/>
        <v>0</v>
      </c>
      <c r="D21" s="391"/>
      <c r="E21" s="417">
        <f t="shared" si="1"/>
        <v>0</v>
      </c>
      <c r="F21" s="418">
        <f>SUM(D18:D21)</f>
        <v>0</v>
      </c>
      <c r="G21" s="445">
        <f>SUM(E18:E21)</f>
        <v>0</v>
      </c>
      <c r="H21" s="457">
        <v>2500000</v>
      </c>
      <c r="I21" s="458">
        <v>258568</v>
      </c>
      <c r="J21" s="431">
        <f>H21+F21+'spł poż'!F20</f>
        <v>2550000</v>
      </c>
      <c r="K21" s="431">
        <f>I21+G21+'spł poż'!G20</f>
        <v>421756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11" ht="15">
      <c r="A22" s="355" t="s">
        <v>24</v>
      </c>
      <c r="B22" s="356">
        <v>90</v>
      </c>
      <c r="C22" s="357">
        <f t="shared" si="0"/>
        <v>0</v>
      </c>
      <c r="D22" s="384"/>
      <c r="E22" s="411">
        <f t="shared" si="1"/>
        <v>0</v>
      </c>
      <c r="F22" s="411"/>
      <c r="G22" s="441"/>
      <c r="H22" s="453"/>
      <c r="I22" s="454"/>
      <c r="J22" s="429">
        <f>H22+F22+'spł poż'!F21</f>
        <v>0</v>
      </c>
      <c r="K22" s="429">
        <f>I22+G22+'spł poż'!G21</f>
        <v>0</v>
      </c>
    </row>
    <row r="23" spans="1:11" ht="15">
      <c r="A23" s="360" t="s">
        <v>25</v>
      </c>
      <c r="B23" s="361">
        <v>90</v>
      </c>
      <c r="C23" s="362">
        <f t="shared" si="0"/>
        <v>0</v>
      </c>
      <c r="D23" s="386"/>
      <c r="E23" s="412">
        <f t="shared" si="1"/>
        <v>0</v>
      </c>
      <c r="F23" s="412"/>
      <c r="G23" s="442"/>
      <c r="H23" s="453"/>
      <c r="I23" s="454"/>
      <c r="J23" s="430">
        <f>H23+F23+'spł poż'!F22</f>
        <v>0</v>
      </c>
      <c r="K23" s="430">
        <f>I23+G23+'spł poż'!G22</f>
        <v>0</v>
      </c>
    </row>
    <row r="24" spans="1:11" ht="15">
      <c r="A24" s="360" t="s">
        <v>26</v>
      </c>
      <c r="B24" s="361">
        <v>90</v>
      </c>
      <c r="C24" s="362">
        <f t="shared" si="0"/>
        <v>0</v>
      </c>
      <c r="D24" s="362"/>
      <c r="E24" s="412">
        <f t="shared" si="1"/>
        <v>0</v>
      </c>
      <c r="F24" s="412"/>
      <c r="G24" s="442"/>
      <c r="H24" s="453"/>
      <c r="I24" s="454"/>
      <c r="J24" s="430">
        <f>H24+F24+'spł poż'!F23</f>
        <v>0</v>
      </c>
      <c r="K24" s="430">
        <f>I24+G24+'spł poż'!G23</f>
        <v>0</v>
      </c>
    </row>
    <row r="25" spans="1:11" ht="15.75" thickBot="1">
      <c r="A25" s="365" t="s">
        <v>27</v>
      </c>
      <c r="B25" s="366">
        <v>90</v>
      </c>
      <c r="C25" s="367">
        <f t="shared" si="0"/>
        <v>0</v>
      </c>
      <c r="D25" s="367"/>
      <c r="E25" s="414">
        <f t="shared" si="1"/>
        <v>0</v>
      </c>
      <c r="F25" s="414">
        <f>SUM(D22:D25)</f>
        <v>0</v>
      </c>
      <c r="G25" s="443">
        <f>SUM(E22:E25)</f>
        <v>0</v>
      </c>
      <c r="H25" s="457">
        <v>2500000</v>
      </c>
      <c r="I25" s="458">
        <v>171068</v>
      </c>
      <c r="J25" s="428">
        <f>H25+F25+'spł poż'!F24</f>
        <v>2550000</v>
      </c>
      <c r="K25" s="428">
        <f>I25+G25+'spł poż'!G24</f>
        <v>330756</v>
      </c>
    </row>
    <row r="26" spans="1:36" s="17" customFormat="1" ht="15">
      <c r="A26" s="382" t="s">
        <v>28</v>
      </c>
      <c r="B26" s="383">
        <v>90</v>
      </c>
      <c r="C26" s="357">
        <f t="shared" si="0"/>
        <v>0</v>
      </c>
      <c r="D26" s="384"/>
      <c r="E26" s="411">
        <f t="shared" si="1"/>
        <v>0</v>
      </c>
      <c r="F26" s="419"/>
      <c r="G26" s="446"/>
      <c r="H26" s="453"/>
      <c r="I26" s="454"/>
      <c r="J26" s="429">
        <f>H26+F26+'spł poż'!F25</f>
        <v>0</v>
      </c>
      <c r="K26" s="429">
        <f>I26+G26+'spł poż'!G25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5">
      <c r="A27" s="370" t="s">
        <v>29</v>
      </c>
      <c r="B27" s="371">
        <v>90</v>
      </c>
      <c r="C27" s="362">
        <f t="shared" si="0"/>
        <v>0</v>
      </c>
      <c r="D27" s="386"/>
      <c r="E27" s="412">
        <f t="shared" si="1"/>
        <v>0</v>
      </c>
      <c r="F27" s="415"/>
      <c r="G27" s="444"/>
      <c r="H27" s="453"/>
      <c r="I27" s="454"/>
      <c r="J27" s="430">
        <f>H27+F27+'spł poż'!F26</f>
        <v>0</v>
      </c>
      <c r="K27" s="430">
        <f>I27+G27+'spł poż'!G26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5">
      <c r="A28" s="370" t="s">
        <v>30</v>
      </c>
      <c r="B28" s="371">
        <v>90</v>
      </c>
      <c r="C28" s="362">
        <f t="shared" si="0"/>
        <v>0</v>
      </c>
      <c r="D28" s="386"/>
      <c r="E28" s="412">
        <f t="shared" si="1"/>
        <v>0</v>
      </c>
      <c r="F28" s="415"/>
      <c r="G28" s="444"/>
      <c r="H28" s="453"/>
      <c r="I28" s="454"/>
      <c r="J28" s="430">
        <f>H28+F28+'spł poż'!F27</f>
        <v>0</v>
      </c>
      <c r="K28" s="430">
        <f>I28+G28+'spł poż'!G27</f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s="17" customFormat="1" ht="15.75" thickBot="1">
      <c r="A29" s="373" t="s">
        <v>31</v>
      </c>
      <c r="B29" s="374">
        <v>90</v>
      </c>
      <c r="C29" s="367">
        <f t="shared" si="0"/>
        <v>0</v>
      </c>
      <c r="D29" s="387"/>
      <c r="E29" s="414">
        <f t="shared" si="1"/>
        <v>0</v>
      </c>
      <c r="F29" s="416">
        <f>SUM(D26:D29)</f>
        <v>0</v>
      </c>
      <c r="G29" s="447">
        <f>SUM(E26:E29)</f>
        <v>0</v>
      </c>
      <c r="H29" s="457">
        <v>2376170</v>
      </c>
      <c r="I29" s="458">
        <v>83568</v>
      </c>
      <c r="J29" s="428">
        <f>H29+F29+'spł poż'!F28</f>
        <v>2401170</v>
      </c>
      <c r="K29" s="428">
        <f>I29+G29+'spł poż'!G28</f>
        <v>212193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11" ht="15">
      <c r="A30" s="355" t="s">
        <v>32</v>
      </c>
      <c r="B30" s="356">
        <v>90</v>
      </c>
      <c r="C30" s="357">
        <f t="shared" si="0"/>
        <v>0</v>
      </c>
      <c r="D30" s="357"/>
      <c r="E30" s="411">
        <f t="shared" si="1"/>
        <v>0</v>
      </c>
      <c r="F30" s="411"/>
      <c r="G30" s="441"/>
      <c r="H30" s="453"/>
      <c r="I30" s="454"/>
      <c r="J30" s="429">
        <f>H30+F30+'spł poż'!F29</f>
        <v>0</v>
      </c>
      <c r="K30" s="429">
        <f>I30+G30+'spł poż'!G29</f>
        <v>0</v>
      </c>
    </row>
    <row r="31" spans="1:11" ht="15">
      <c r="A31" s="360" t="s">
        <v>33</v>
      </c>
      <c r="B31" s="361">
        <v>90</v>
      </c>
      <c r="C31" s="362">
        <f t="shared" si="0"/>
        <v>0</v>
      </c>
      <c r="D31" s="386"/>
      <c r="E31" s="412">
        <f t="shared" si="1"/>
        <v>0</v>
      </c>
      <c r="F31" s="412"/>
      <c r="G31" s="442"/>
      <c r="H31" s="453"/>
      <c r="I31" s="454"/>
      <c r="J31" s="430">
        <f>H31+F31+'spł poż'!F30</f>
        <v>0</v>
      </c>
      <c r="K31" s="430">
        <f>I31+G31+'spł poż'!G30</f>
        <v>0</v>
      </c>
    </row>
    <row r="32" spans="1:11" ht="15">
      <c r="A32" s="360" t="s">
        <v>34</v>
      </c>
      <c r="B32" s="361">
        <v>90</v>
      </c>
      <c r="C32" s="362">
        <f t="shared" si="0"/>
        <v>0</v>
      </c>
      <c r="D32" s="386"/>
      <c r="E32" s="412">
        <f t="shared" si="1"/>
        <v>0</v>
      </c>
      <c r="F32" s="412"/>
      <c r="G32" s="442"/>
      <c r="H32" s="453"/>
      <c r="I32" s="454"/>
      <c r="J32" s="430">
        <f>H32+F32+'spł poż'!F31</f>
        <v>0</v>
      </c>
      <c r="K32" s="430">
        <f>I32+G32+'spł poż'!G31</f>
        <v>0</v>
      </c>
    </row>
    <row r="33" spans="1:11" ht="15.75" thickBot="1">
      <c r="A33" s="420" t="s">
        <v>35</v>
      </c>
      <c r="B33" s="421">
        <v>90</v>
      </c>
      <c r="C33" s="378">
        <f t="shared" si="0"/>
        <v>0</v>
      </c>
      <c r="D33" s="391"/>
      <c r="E33" s="417">
        <f t="shared" si="1"/>
        <v>0</v>
      </c>
      <c r="F33" s="417">
        <f>SUM(D30:D33)</f>
        <v>0</v>
      </c>
      <c r="G33" s="448">
        <f>SUM(E30:E33)</f>
        <v>0</v>
      </c>
      <c r="H33" s="457">
        <v>11500</v>
      </c>
      <c r="I33" s="454">
        <v>403</v>
      </c>
      <c r="J33" s="431">
        <f>H33+F33+'spł poż'!F32</f>
        <v>62028</v>
      </c>
      <c r="K33" s="431">
        <f>I33+G33+'spł poż'!G32</f>
        <v>126831.26000000002</v>
      </c>
    </row>
    <row r="34" spans="1:36" s="17" customFormat="1" ht="15">
      <c r="A34" s="382" t="s">
        <v>36</v>
      </c>
      <c r="B34" s="383">
        <v>90</v>
      </c>
      <c r="C34" s="357">
        <f t="shared" si="0"/>
        <v>0</v>
      </c>
      <c r="D34" s="384"/>
      <c r="E34" s="411">
        <f t="shared" si="1"/>
        <v>0</v>
      </c>
      <c r="F34" s="419"/>
      <c r="G34" s="446"/>
      <c r="H34" s="453"/>
      <c r="I34" s="454"/>
      <c r="J34" s="429">
        <f>H34+F34+'spł poż'!F33</f>
        <v>0</v>
      </c>
      <c r="K34" s="429">
        <f>I34+G34+'spł poż'!G33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5">
      <c r="A35" s="370" t="s">
        <v>37</v>
      </c>
      <c r="B35" s="371">
        <v>90</v>
      </c>
      <c r="C35" s="362">
        <f t="shared" si="0"/>
        <v>0</v>
      </c>
      <c r="D35" s="386">
        <f>D34</f>
        <v>0</v>
      </c>
      <c r="E35" s="412">
        <f t="shared" si="1"/>
        <v>0</v>
      </c>
      <c r="F35" s="415"/>
      <c r="G35" s="444"/>
      <c r="H35" s="453"/>
      <c r="I35" s="454"/>
      <c r="J35" s="430">
        <f>H35+F35+'spł poż'!F34</f>
        <v>0</v>
      </c>
      <c r="K35" s="430">
        <f>I35+G35+'spł poż'!G34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5">
      <c r="A36" s="370" t="s">
        <v>38</v>
      </c>
      <c r="B36" s="371">
        <v>90</v>
      </c>
      <c r="C36" s="362">
        <f t="shared" si="0"/>
        <v>0</v>
      </c>
      <c r="D36" s="386"/>
      <c r="E36" s="412">
        <f t="shared" si="1"/>
        <v>0</v>
      </c>
      <c r="F36" s="415"/>
      <c r="G36" s="444"/>
      <c r="H36" s="453"/>
      <c r="I36" s="454"/>
      <c r="J36" s="430">
        <f>H36+F36+'spł poż'!F35</f>
        <v>0</v>
      </c>
      <c r="K36" s="430">
        <f>I36+G36+'spł poż'!G35</f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s="17" customFormat="1" ht="15.75" thickBot="1">
      <c r="A37" s="373" t="s">
        <v>39</v>
      </c>
      <c r="B37" s="374">
        <v>90</v>
      </c>
      <c r="C37" s="367">
        <f t="shared" si="0"/>
        <v>0</v>
      </c>
      <c r="D37" s="387"/>
      <c r="E37" s="414">
        <f t="shared" si="1"/>
        <v>0</v>
      </c>
      <c r="F37" s="416">
        <f>SUM(D34:D37)</f>
        <v>0</v>
      </c>
      <c r="G37" s="447">
        <f>SUM(E34:E37)</f>
        <v>0</v>
      </c>
      <c r="H37" s="453"/>
      <c r="I37" s="454"/>
      <c r="J37" s="428">
        <f>H37+F37+'spł poż'!F36</f>
        <v>750523</v>
      </c>
      <c r="K37" s="428">
        <f>I37+G37+'spł poż'!G36</f>
        <v>107150.54000000001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11" ht="15">
      <c r="A38" s="355" t="s">
        <v>40</v>
      </c>
      <c r="B38" s="356">
        <v>90</v>
      </c>
      <c r="C38" s="357">
        <f t="shared" si="0"/>
        <v>0</v>
      </c>
      <c r="D38" s="357">
        <f>D37</f>
        <v>0</v>
      </c>
      <c r="E38" s="411">
        <f t="shared" si="1"/>
        <v>0</v>
      </c>
      <c r="F38" s="411"/>
      <c r="G38" s="441"/>
      <c r="H38" s="453"/>
      <c r="I38" s="454"/>
      <c r="J38" s="429">
        <f>H38+F38+'spł poż'!F37</f>
        <v>0</v>
      </c>
      <c r="K38" s="429">
        <f>I38+G38+'spł poż'!G37</f>
        <v>0</v>
      </c>
    </row>
    <row r="39" spans="1:11" ht="15">
      <c r="A39" s="360" t="s">
        <v>41</v>
      </c>
      <c r="B39" s="361">
        <v>90</v>
      </c>
      <c r="C39" s="362">
        <f t="shared" si="0"/>
        <v>0</v>
      </c>
      <c r="D39" s="362">
        <f>D38</f>
        <v>0</v>
      </c>
      <c r="E39" s="412">
        <f t="shared" si="1"/>
        <v>0</v>
      </c>
      <c r="F39" s="412"/>
      <c r="G39" s="442"/>
      <c r="H39" s="453"/>
      <c r="I39" s="454"/>
      <c r="J39" s="430">
        <f>H39+F39+'spł poż'!F38</f>
        <v>0</v>
      </c>
      <c r="K39" s="430">
        <f>I39+G39+'spł poż'!G38</f>
        <v>0</v>
      </c>
    </row>
    <row r="40" spans="1:11" ht="15">
      <c r="A40" s="360" t="s">
        <v>42</v>
      </c>
      <c r="B40" s="361">
        <v>90</v>
      </c>
      <c r="C40" s="362">
        <f t="shared" si="0"/>
        <v>0</v>
      </c>
      <c r="D40" s="362">
        <f>D39</f>
        <v>0</v>
      </c>
      <c r="E40" s="412">
        <f t="shared" si="1"/>
        <v>0</v>
      </c>
      <c r="F40" s="412"/>
      <c r="G40" s="442"/>
      <c r="H40" s="453"/>
      <c r="I40" s="454"/>
      <c r="J40" s="430">
        <f>H40+F40+'spł poż'!F39</f>
        <v>0</v>
      </c>
      <c r="K40" s="430">
        <f>I40+G40+'spł poż'!G39</f>
        <v>0</v>
      </c>
    </row>
    <row r="41" spans="1:11" ht="15.75" thickBot="1">
      <c r="A41" s="365" t="s">
        <v>43</v>
      </c>
      <c r="B41" s="366">
        <v>90</v>
      </c>
      <c r="C41" s="367">
        <f t="shared" si="0"/>
        <v>0</v>
      </c>
      <c r="D41" s="367"/>
      <c r="E41" s="414">
        <f t="shared" si="1"/>
        <v>0</v>
      </c>
      <c r="F41" s="414">
        <f>SUM(D38:D41)</f>
        <v>0</v>
      </c>
      <c r="G41" s="443">
        <f>SUM(E38:E41)</f>
        <v>0</v>
      </c>
      <c r="H41" s="453"/>
      <c r="I41" s="454"/>
      <c r="J41" s="428">
        <f>H41+F41+'spł poż'!F40</f>
        <v>600000</v>
      </c>
      <c r="K41" s="428">
        <f>I41+G41+'spł poż'!G40</f>
        <v>55926.43</v>
      </c>
    </row>
    <row r="42" spans="1:11" ht="15">
      <c r="A42" s="355" t="s">
        <v>44</v>
      </c>
      <c r="B42" s="356">
        <v>90</v>
      </c>
      <c r="C42" s="357">
        <f t="shared" si="0"/>
        <v>0</v>
      </c>
      <c r="D42" s="357"/>
      <c r="E42" s="411">
        <f>B42*C42*0.07/360</f>
        <v>0</v>
      </c>
      <c r="F42" s="411"/>
      <c r="G42" s="441"/>
      <c r="H42" s="453"/>
      <c r="I42" s="454"/>
      <c r="J42" s="429">
        <f>H42+F42+'spł poż'!F41</f>
        <v>0</v>
      </c>
      <c r="K42" s="429">
        <f>I42+G42+'spł poż'!G41</f>
        <v>0</v>
      </c>
    </row>
    <row r="43" spans="1:11" ht="15">
      <c r="A43" s="360" t="s">
        <v>45</v>
      </c>
      <c r="B43" s="361">
        <v>90</v>
      </c>
      <c r="C43" s="362">
        <f t="shared" si="0"/>
        <v>0</v>
      </c>
      <c r="D43" s="362"/>
      <c r="E43" s="412">
        <f>B43*C43*0.07/360</f>
        <v>0</v>
      </c>
      <c r="F43" s="412"/>
      <c r="G43" s="442"/>
      <c r="H43" s="453"/>
      <c r="I43" s="454"/>
      <c r="J43" s="430">
        <f>H43+F43+'spł poż'!F42</f>
        <v>0</v>
      </c>
      <c r="K43" s="430">
        <f>I43+G43+'spł poż'!G42</f>
        <v>0</v>
      </c>
    </row>
    <row r="44" spans="1:11" ht="15">
      <c r="A44" s="360" t="s">
        <v>46</v>
      </c>
      <c r="B44" s="361">
        <v>90</v>
      </c>
      <c r="C44" s="362">
        <f t="shared" si="0"/>
        <v>0</v>
      </c>
      <c r="D44" s="362"/>
      <c r="E44" s="412">
        <f>B44*C44*0.07/360</f>
        <v>0</v>
      </c>
      <c r="F44" s="412"/>
      <c r="G44" s="442"/>
      <c r="H44" s="453"/>
      <c r="I44" s="454"/>
      <c r="J44" s="430">
        <f>H44+F44+'spł poż'!F43</f>
        <v>0</v>
      </c>
      <c r="K44" s="430">
        <f>I44+G44+'spł poż'!G43</f>
        <v>0</v>
      </c>
    </row>
    <row r="45" spans="1:11" ht="15.75" thickBot="1">
      <c r="A45" s="365" t="s">
        <v>47</v>
      </c>
      <c r="B45" s="366">
        <v>90</v>
      </c>
      <c r="C45" s="367">
        <f>C44-D44</f>
        <v>0</v>
      </c>
      <c r="D45" s="367"/>
      <c r="E45" s="414">
        <f>B45*C45*0.07/360</f>
        <v>0</v>
      </c>
      <c r="F45" s="414">
        <f>SUM(D42:D45)</f>
        <v>0</v>
      </c>
      <c r="G45" s="443">
        <f>SUM(E42:E45)</f>
        <v>0</v>
      </c>
      <c r="H45" s="459"/>
      <c r="I45" s="460"/>
      <c r="J45" s="428">
        <f>H45+F45+'spł poż'!F44</f>
        <v>423949</v>
      </c>
      <c r="K45" s="428">
        <f>I45+G45+'spł poż'!G44</f>
        <v>18757.322500000002</v>
      </c>
    </row>
    <row r="46" spans="4:11" ht="12.75">
      <c r="D46" s="14">
        <f>SUM(D10:D45)</f>
        <v>0</v>
      </c>
      <c r="J46" s="422"/>
      <c r="K46" s="478">
        <f>SUM(K4:K45)</f>
        <v>4314644.552499999</v>
      </c>
    </row>
  </sheetData>
  <sheetProtection/>
  <mergeCells count="2">
    <mergeCell ref="A1:G1"/>
    <mergeCell ref="J2:K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tabSelected="1" view="pageBreakPreview" zoomScale="75" zoomScaleNormal="90" zoomScaleSheetLayoutView="75" zoomScalePageLayoutView="0" workbookViewId="0" topLeftCell="A1">
      <selection activeCell="H15" sqref="H15"/>
    </sheetView>
  </sheetViews>
  <sheetFormatPr defaultColWidth="11.57421875" defaultRowHeight="12.75"/>
  <cols>
    <col min="1" max="1" width="4.00390625" style="0" customWidth="1"/>
    <col min="2" max="2" width="6.8515625" style="0" customWidth="1"/>
    <col min="3" max="3" width="50.00390625" style="31" customWidth="1"/>
    <col min="4" max="4" width="14.421875" style="31" customWidth="1"/>
    <col min="5" max="5" width="14.28125" style="0" customWidth="1"/>
    <col min="6" max="6" width="14.8515625" style="0" customWidth="1"/>
    <col min="7" max="7" width="13.421875" style="31" customWidth="1"/>
    <col min="8" max="8" width="14.57421875" style="0" customWidth="1"/>
    <col min="9" max="9" width="14.28125" style="0" customWidth="1"/>
    <col min="10" max="10" width="14.421875" style="0" customWidth="1"/>
    <col min="11" max="12" width="14.28125" style="0" customWidth="1"/>
    <col min="13" max="13" width="15.28125" style="0" customWidth="1"/>
    <col min="14" max="14" width="14.8515625" style="0" customWidth="1"/>
    <col min="15" max="15" width="14.7109375" style="0" customWidth="1"/>
    <col min="16" max="16" width="14.8515625" style="0" customWidth="1"/>
    <col min="17" max="18" width="15.7109375" style="0" customWidth="1"/>
  </cols>
  <sheetData>
    <row r="1" spans="1:18" ht="19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63"/>
      <c r="O1" s="65" t="s">
        <v>48</v>
      </c>
      <c r="P1" s="65"/>
      <c r="Q1" s="66"/>
      <c r="R1" s="66"/>
    </row>
    <row r="2" spans="1:18" ht="3.75" customHeight="1">
      <c r="A2" s="67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8"/>
      <c r="O2" s="70"/>
      <c r="P2" s="71"/>
      <c r="Q2" s="68"/>
      <c r="R2" s="68"/>
    </row>
    <row r="3" spans="1:18" ht="12.75" customHeight="1">
      <c r="A3" s="72"/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  <c r="N3" s="73"/>
      <c r="O3" s="75" t="s">
        <v>250</v>
      </c>
      <c r="P3" s="71"/>
      <c r="Q3" s="73"/>
      <c r="R3" s="73"/>
    </row>
    <row r="4" spans="1:18" ht="16.5" customHeight="1">
      <c r="A4" s="72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  <c r="N4" s="73"/>
      <c r="O4" s="75" t="s">
        <v>49</v>
      </c>
      <c r="P4" s="71"/>
      <c r="Q4" s="73"/>
      <c r="R4" s="73"/>
    </row>
    <row r="5" spans="1:18" ht="12" customHeight="1">
      <c r="A5" s="72"/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  <c r="N5" s="73"/>
      <c r="O5" s="75" t="s">
        <v>251</v>
      </c>
      <c r="P5" s="71"/>
      <c r="Q5" s="73"/>
      <c r="R5" s="73"/>
    </row>
    <row r="6" spans="1:18" ht="19.5" customHeight="1">
      <c r="A6" s="592" t="s">
        <v>226</v>
      </c>
      <c r="B6" s="592"/>
      <c r="C6" s="592" t="s">
        <v>51</v>
      </c>
      <c r="D6" s="592" t="s">
        <v>52</v>
      </c>
      <c r="E6" s="592" t="s">
        <v>50</v>
      </c>
      <c r="F6" s="592" t="s">
        <v>53</v>
      </c>
      <c r="G6" s="592" t="s">
        <v>54</v>
      </c>
      <c r="H6" s="592" t="s">
        <v>55</v>
      </c>
      <c r="I6" s="592" t="s">
        <v>56</v>
      </c>
      <c r="J6" s="592" t="s">
        <v>57</v>
      </c>
      <c r="K6" s="592" t="s">
        <v>58</v>
      </c>
      <c r="L6" s="592" t="s">
        <v>59</v>
      </c>
      <c r="M6" s="592" t="s">
        <v>60</v>
      </c>
      <c r="N6" s="592" t="s">
        <v>61</v>
      </c>
      <c r="O6" s="592" t="s">
        <v>62</v>
      </c>
      <c r="P6" s="76"/>
      <c r="Q6" s="76"/>
      <c r="R6" s="77"/>
    </row>
    <row r="7" spans="1:18" ht="19.5" customHeight="1">
      <c r="A7" s="592"/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76"/>
      <c r="Q7" s="76"/>
      <c r="R7" s="77"/>
    </row>
    <row r="8" spans="1:18" ht="19.5" customHeight="1" thickBot="1">
      <c r="A8" s="592"/>
      <c r="B8" s="592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78"/>
      <c r="Q8" s="78"/>
      <c r="R8" s="79"/>
    </row>
    <row r="9" spans="1:18" ht="16.5" customHeight="1" thickBot="1">
      <c r="A9" s="551" t="s">
        <v>63</v>
      </c>
      <c r="B9" s="567" t="s">
        <v>64</v>
      </c>
      <c r="C9" s="568"/>
      <c r="D9" s="560" t="s">
        <v>65</v>
      </c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2"/>
    </row>
    <row r="10" spans="1:18" ht="16.5" customHeight="1" thickBot="1">
      <c r="A10" s="552"/>
      <c r="B10" s="569"/>
      <c r="C10" s="570"/>
      <c r="D10" s="560" t="s">
        <v>66</v>
      </c>
      <c r="E10" s="561"/>
      <c r="F10" s="561"/>
      <c r="G10" s="562"/>
      <c r="H10" s="560" t="s">
        <v>67</v>
      </c>
      <c r="I10" s="561"/>
      <c r="J10" s="561"/>
      <c r="K10" s="561"/>
      <c r="L10" s="561"/>
      <c r="M10" s="561"/>
      <c r="N10" s="561"/>
      <c r="O10" s="561"/>
      <c r="P10" s="561"/>
      <c r="Q10" s="561"/>
      <c r="R10" s="562"/>
    </row>
    <row r="11" spans="1:18" ht="18" customHeight="1">
      <c r="A11" s="552"/>
      <c r="B11" s="569"/>
      <c r="C11" s="570"/>
      <c r="D11" s="551">
        <v>2007</v>
      </c>
      <c r="E11" s="551">
        <v>2008</v>
      </c>
      <c r="F11" s="558">
        <v>2009</v>
      </c>
      <c r="G11" s="554">
        <v>2010</v>
      </c>
      <c r="H11" s="556">
        <v>2011</v>
      </c>
      <c r="I11" s="551">
        <v>2012</v>
      </c>
      <c r="J11" s="551">
        <v>2013</v>
      </c>
      <c r="K11" s="551">
        <v>2014</v>
      </c>
      <c r="L11" s="551">
        <v>2015</v>
      </c>
      <c r="M11" s="551">
        <v>2016</v>
      </c>
      <c r="N11" s="551">
        <v>2017</v>
      </c>
      <c r="O11" s="551">
        <v>2018</v>
      </c>
      <c r="P11" s="551">
        <v>2019</v>
      </c>
      <c r="Q11" s="551">
        <v>2020</v>
      </c>
      <c r="R11" s="551">
        <v>2021</v>
      </c>
    </row>
    <row r="12" spans="1:18" ht="14.25" customHeight="1" thickBot="1">
      <c r="A12" s="553"/>
      <c r="B12" s="571"/>
      <c r="C12" s="572"/>
      <c r="D12" s="553"/>
      <c r="E12" s="553"/>
      <c r="F12" s="559"/>
      <c r="G12" s="555"/>
      <c r="H12" s="557"/>
      <c r="I12" s="553"/>
      <c r="J12" s="553"/>
      <c r="K12" s="553"/>
      <c r="L12" s="553"/>
      <c r="M12" s="553"/>
      <c r="N12" s="553"/>
      <c r="O12" s="553"/>
      <c r="P12" s="553"/>
      <c r="Q12" s="553"/>
      <c r="R12" s="553"/>
    </row>
    <row r="13" spans="1:18" s="32" customFormat="1" ht="19.5" customHeight="1">
      <c r="A13" s="90">
        <v>1</v>
      </c>
      <c r="B13" s="598" t="s">
        <v>68</v>
      </c>
      <c r="C13" s="598"/>
      <c r="D13" s="91">
        <f aca="true" t="shared" si="0" ref="D13:I13">D14+D15</f>
        <v>75196615</v>
      </c>
      <c r="E13" s="91">
        <f t="shared" si="0"/>
        <v>80916668</v>
      </c>
      <c r="F13" s="91">
        <f t="shared" si="0"/>
        <v>81699693</v>
      </c>
      <c r="G13" s="329">
        <f t="shared" si="0"/>
        <v>85095905</v>
      </c>
      <c r="H13" s="333">
        <f t="shared" si="0"/>
        <v>114215926</v>
      </c>
      <c r="I13" s="91">
        <f t="shared" si="0"/>
        <v>167870396</v>
      </c>
      <c r="J13" s="91">
        <f aca="true" t="shared" si="1" ref="J13:R13">J14+J15</f>
        <v>132765334</v>
      </c>
      <c r="K13" s="91">
        <f t="shared" si="1"/>
        <v>103647586</v>
      </c>
      <c r="L13" s="410">
        <f t="shared" si="1"/>
        <v>118758338</v>
      </c>
      <c r="M13" s="91">
        <f t="shared" si="1"/>
        <v>105848430</v>
      </c>
      <c r="N13" s="91">
        <f t="shared" si="1"/>
        <v>108078216</v>
      </c>
      <c r="O13" s="91">
        <f t="shared" si="1"/>
        <v>111030581</v>
      </c>
      <c r="P13" s="91">
        <f t="shared" si="1"/>
        <v>110658756</v>
      </c>
      <c r="Q13" s="92">
        <f t="shared" si="1"/>
        <v>116016075</v>
      </c>
      <c r="R13" s="93">
        <f t="shared" si="1"/>
        <v>130658641</v>
      </c>
    </row>
    <row r="14" spans="1:18" ht="19.5" customHeight="1">
      <c r="A14" s="94" t="s">
        <v>69</v>
      </c>
      <c r="B14" s="564" t="s">
        <v>70</v>
      </c>
      <c r="C14" s="564"/>
      <c r="D14" s="95">
        <v>74779347</v>
      </c>
      <c r="E14" s="96">
        <v>80901768</v>
      </c>
      <c r="F14" s="96">
        <v>80665439</v>
      </c>
      <c r="G14" s="120">
        <v>84339995</v>
      </c>
      <c r="H14" s="334">
        <v>98460107</v>
      </c>
      <c r="I14" s="96">
        <v>99870907</v>
      </c>
      <c r="J14" s="96">
        <v>101052833</v>
      </c>
      <c r="K14" s="97">
        <v>99647586</v>
      </c>
      <c r="L14" s="96">
        <v>104758338</v>
      </c>
      <c r="M14" s="96">
        <v>105848430</v>
      </c>
      <c r="N14" s="96">
        <v>108078216</v>
      </c>
      <c r="O14" s="96">
        <v>111030581</v>
      </c>
      <c r="P14" s="96">
        <v>110658756</v>
      </c>
      <c r="Q14" s="98">
        <v>114016075</v>
      </c>
      <c r="R14" s="96">
        <v>118658641</v>
      </c>
    </row>
    <row r="15" spans="1:18" ht="19.5" customHeight="1">
      <c r="A15" s="94" t="s">
        <v>71</v>
      </c>
      <c r="B15" s="564" t="s">
        <v>72</v>
      </c>
      <c r="C15" s="564"/>
      <c r="D15" s="95">
        <v>417268</v>
      </c>
      <c r="E15" s="96">
        <v>14900</v>
      </c>
      <c r="F15" s="96">
        <v>1034254</v>
      </c>
      <c r="G15" s="120">
        <v>755910</v>
      </c>
      <c r="H15" s="334">
        <v>15755819</v>
      </c>
      <c r="I15" s="96">
        <v>67999489</v>
      </c>
      <c r="J15" s="96">
        <v>31712501</v>
      </c>
      <c r="K15" s="97">
        <v>4000000</v>
      </c>
      <c r="L15" s="96">
        <v>14000000</v>
      </c>
      <c r="M15" s="96">
        <f>M16</f>
        <v>0</v>
      </c>
      <c r="N15" s="96">
        <f>N16</f>
        <v>0</v>
      </c>
      <c r="O15" s="97">
        <v>0</v>
      </c>
      <c r="P15" s="96">
        <f>P16</f>
        <v>0</v>
      </c>
      <c r="Q15" s="98">
        <f>Q16</f>
        <v>2000000</v>
      </c>
      <c r="R15" s="99">
        <f>R16</f>
        <v>12000000</v>
      </c>
    </row>
    <row r="16" spans="1:18" ht="20.25" customHeight="1">
      <c r="A16" s="94" t="s">
        <v>73</v>
      </c>
      <c r="B16" s="127" t="s">
        <v>74</v>
      </c>
      <c r="C16" s="170" t="s">
        <v>75</v>
      </c>
      <c r="D16" s="95">
        <v>0</v>
      </c>
      <c r="E16" s="96">
        <v>0</v>
      </c>
      <c r="F16" s="96">
        <v>197354</v>
      </c>
      <c r="G16" s="120">
        <v>255910</v>
      </c>
      <c r="H16" s="334">
        <v>13500000</v>
      </c>
      <c r="I16" s="97">
        <v>22400000</v>
      </c>
      <c r="J16" s="97">
        <v>17245000</v>
      </c>
      <c r="K16" s="97">
        <v>4000000</v>
      </c>
      <c r="L16" s="97">
        <v>5000000</v>
      </c>
      <c r="M16" s="97">
        <v>0</v>
      </c>
      <c r="N16" s="97">
        <v>0</v>
      </c>
      <c r="O16" s="97">
        <v>0</v>
      </c>
      <c r="P16" s="97">
        <v>0</v>
      </c>
      <c r="Q16" s="97">
        <v>2000000</v>
      </c>
      <c r="R16" s="97">
        <v>12000000</v>
      </c>
    </row>
    <row r="17" spans="1:18" ht="54.75" customHeight="1">
      <c r="A17" s="103">
        <v>2</v>
      </c>
      <c r="B17" s="565" t="s">
        <v>76</v>
      </c>
      <c r="C17" s="565"/>
      <c r="D17" s="104">
        <v>54819832</v>
      </c>
      <c r="E17" s="104">
        <v>63400831</v>
      </c>
      <c r="F17" s="104">
        <v>71551205</v>
      </c>
      <c r="G17" s="115">
        <v>76029699</v>
      </c>
      <c r="H17" s="335">
        <v>87937957</v>
      </c>
      <c r="I17" s="104">
        <v>79226195</v>
      </c>
      <c r="J17" s="104">
        <v>79020230</v>
      </c>
      <c r="K17" s="104">
        <v>80730732</v>
      </c>
      <c r="L17" s="104">
        <v>81620332</v>
      </c>
      <c r="M17" s="104">
        <v>87888924</v>
      </c>
      <c r="N17" s="104">
        <v>89847353</v>
      </c>
      <c r="O17" s="104">
        <v>104909222</v>
      </c>
      <c r="P17" s="104">
        <v>106492957</v>
      </c>
      <c r="Q17" s="105">
        <v>110241024</v>
      </c>
      <c r="R17" s="106">
        <v>113939185</v>
      </c>
    </row>
    <row r="18" spans="1:18" ht="24.75" customHeight="1">
      <c r="A18" s="94" t="s">
        <v>69</v>
      </c>
      <c r="B18" s="566" t="s">
        <v>74</v>
      </c>
      <c r="C18" s="100" t="s">
        <v>77</v>
      </c>
      <c r="D18" s="95">
        <v>18942650</v>
      </c>
      <c r="E18" s="96">
        <v>21925321.76</v>
      </c>
      <c r="F18" s="96">
        <v>25712119</v>
      </c>
      <c r="G18" s="120">
        <v>28031630</v>
      </c>
      <c r="H18" s="334">
        <v>30922400</v>
      </c>
      <c r="I18" s="96">
        <f aca="true" t="shared" si="2" ref="I18:P18">H18*102%</f>
        <v>31540848</v>
      </c>
      <c r="J18" s="96">
        <f t="shared" si="2"/>
        <v>32171664.96</v>
      </c>
      <c r="K18" s="97">
        <f t="shared" si="2"/>
        <v>32815098.259200003</v>
      </c>
      <c r="L18" s="96">
        <f t="shared" si="2"/>
        <v>33471400.224384002</v>
      </c>
      <c r="M18" s="96">
        <f t="shared" si="2"/>
        <v>34140828.22887168</v>
      </c>
      <c r="N18" s="96">
        <f t="shared" si="2"/>
        <v>34823644.79344912</v>
      </c>
      <c r="O18" s="96">
        <f t="shared" si="2"/>
        <v>35520117.6893181</v>
      </c>
      <c r="P18" s="96">
        <f t="shared" si="2"/>
        <v>36230520.04310446</v>
      </c>
      <c r="Q18" s="98">
        <f>O18*102%</f>
        <v>36230520.04310446</v>
      </c>
      <c r="R18" s="99">
        <f>P18*102%</f>
        <v>36955130.44396655</v>
      </c>
    </row>
    <row r="19" spans="1:18" ht="24.75" customHeight="1">
      <c r="A19" s="94" t="s">
        <v>71</v>
      </c>
      <c r="B19" s="566"/>
      <c r="C19" s="100" t="s">
        <v>78</v>
      </c>
      <c r="D19" s="96">
        <v>6162886</v>
      </c>
      <c r="E19" s="96">
        <v>6959371</v>
      </c>
      <c r="F19" s="96">
        <v>7561065</v>
      </c>
      <c r="G19" s="120">
        <v>8358243</v>
      </c>
      <c r="H19" s="334">
        <v>8522694</v>
      </c>
      <c r="I19" s="96">
        <v>7910300</v>
      </c>
      <c r="J19" s="96">
        <v>7950000</v>
      </c>
      <c r="K19" s="97">
        <v>7980000</v>
      </c>
      <c r="L19" s="96">
        <v>8010000</v>
      </c>
      <c r="M19" s="96">
        <v>8170200</v>
      </c>
      <c r="N19" s="96">
        <f>M19*102%</f>
        <v>8333604</v>
      </c>
      <c r="O19" s="96">
        <f>N19*102%</f>
        <v>8500276.08</v>
      </c>
      <c r="P19" s="96">
        <f>O19*102%</f>
        <v>8670281.6016</v>
      </c>
      <c r="Q19" s="98">
        <f>O19*102%</f>
        <v>8670281.6016</v>
      </c>
      <c r="R19" s="99">
        <f>P19*102%</f>
        <v>8843687.233632</v>
      </c>
    </row>
    <row r="20" spans="1:18" ht="20.25" customHeight="1">
      <c r="A20" s="94" t="s">
        <v>79</v>
      </c>
      <c r="B20" s="566"/>
      <c r="C20" s="100" t="s">
        <v>80</v>
      </c>
      <c r="D20" s="95">
        <v>0</v>
      </c>
      <c r="E20" s="96">
        <v>0</v>
      </c>
      <c r="F20" s="96">
        <v>0</v>
      </c>
      <c r="G20" s="120">
        <v>0</v>
      </c>
      <c r="H20" s="336">
        <v>0</v>
      </c>
      <c r="I20" s="95"/>
      <c r="J20" s="95">
        <v>0</v>
      </c>
      <c r="K20" s="95"/>
      <c r="L20" s="95"/>
      <c r="M20" s="95"/>
      <c r="N20" s="95"/>
      <c r="O20" s="95"/>
      <c r="P20" s="95"/>
      <c r="Q20" s="95"/>
      <c r="R20" s="95"/>
    </row>
    <row r="21" spans="1:18" ht="35.25" customHeight="1">
      <c r="A21" s="94" t="s">
        <v>73</v>
      </c>
      <c r="B21" s="566"/>
      <c r="C21" s="100" t="s">
        <v>81</v>
      </c>
      <c r="D21" s="95">
        <v>0</v>
      </c>
      <c r="E21" s="95">
        <v>0</v>
      </c>
      <c r="F21" s="95">
        <v>0</v>
      </c>
      <c r="G21" s="120">
        <v>0</v>
      </c>
      <c r="H21" s="336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107">
        <v>0</v>
      </c>
      <c r="R21" s="108">
        <v>0</v>
      </c>
    </row>
    <row r="22" spans="1:18" ht="31.5">
      <c r="A22" s="94" t="s">
        <v>82</v>
      </c>
      <c r="B22" s="566"/>
      <c r="C22" s="100" t="s">
        <v>83</v>
      </c>
      <c r="D22" s="109" t="s">
        <v>84</v>
      </c>
      <c r="E22" s="96" t="s">
        <v>84</v>
      </c>
      <c r="F22" s="96" t="s">
        <v>84</v>
      </c>
      <c r="G22" s="120" t="s">
        <v>84</v>
      </c>
      <c r="H22" s="334">
        <f>'Wykaz przedsięwzięć'!J12</f>
        <v>689928</v>
      </c>
      <c r="I22" s="97">
        <f>'Wykaz przedsięwzięć'!M12</f>
        <v>729529</v>
      </c>
      <c r="J22" s="97">
        <f>'Wykaz przedsięwzięć'!N12</f>
        <v>591813</v>
      </c>
      <c r="K22" s="97">
        <f>'Wykaz przedsięwzięć'!O74</f>
        <v>371014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101">
        <v>0</v>
      </c>
      <c r="R22" s="102">
        <v>0</v>
      </c>
    </row>
    <row r="23" spans="1:18" ht="38.25" customHeight="1">
      <c r="A23" s="110">
        <v>3</v>
      </c>
      <c r="B23" s="563" t="s">
        <v>85</v>
      </c>
      <c r="C23" s="563"/>
      <c r="D23" s="111">
        <f aca="true" t="shared" si="3" ref="D23:R23">D13-D17</f>
        <v>20376783</v>
      </c>
      <c r="E23" s="111">
        <f t="shared" si="3"/>
        <v>17515837</v>
      </c>
      <c r="F23" s="111">
        <f t="shared" si="3"/>
        <v>10148488</v>
      </c>
      <c r="G23" s="115">
        <f>G13-G17</f>
        <v>9066206</v>
      </c>
      <c r="H23" s="335">
        <f t="shared" si="3"/>
        <v>26277969</v>
      </c>
      <c r="I23" s="111">
        <f>I13-I17</f>
        <v>88644201</v>
      </c>
      <c r="J23" s="111">
        <f t="shared" si="3"/>
        <v>53745104</v>
      </c>
      <c r="K23" s="104">
        <f t="shared" si="3"/>
        <v>22916854</v>
      </c>
      <c r="L23" s="111">
        <f>L13-L17</f>
        <v>37138006</v>
      </c>
      <c r="M23" s="111">
        <f t="shared" si="3"/>
        <v>17959506</v>
      </c>
      <c r="N23" s="111">
        <f t="shared" si="3"/>
        <v>18230863</v>
      </c>
      <c r="O23" s="111">
        <f t="shared" si="3"/>
        <v>6121359</v>
      </c>
      <c r="P23" s="111">
        <f t="shared" si="3"/>
        <v>4165799</v>
      </c>
      <c r="Q23" s="112">
        <f>Q13-Q17</f>
        <v>5775051</v>
      </c>
      <c r="R23" s="113">
        <f t="shared" si="3"/>
        <v>16719456</v>
      </c>
    </row>
    <row r="24" spans="1:18" ht="39.75" customHeight="1">
      <c r="A24" s="110">
        <v>4</v>
      </c>
      <c r="B24" s="563" t="s">
        <v>86</v>
      </c>
      <c r="C24" s="563"/>
      <c r="D24" s="114">
        <v>36329305</v>
      </c>
      <c r="E24" s="114">
        <v>19854380</v>
      </c>
      <c r="F24" s="114">
        <v>3719761</v>
      </c>
      <c r="G24" s="115">
        <v>1245475</v>
      </c>
      <c r="H24" s="337">
        <v>427077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6">
        <v>0</v>
      </c>
      <c r="R24" s="117">
        <v>0</v>
      </c>
    </row>
    <row r="25" spans="1:18" ht="51" customHeight="1">
      <c r="A25" s="94" t="s">
        <v>69</v>
      </c>
      <c r="B25" s="118" t="s">
        <v>74</v>
      </c>
      <c r="C25" s="119" t="s">
        <v>87</v>
      </c>
      <c r="D25" s="95">
        <v>16474925</v>
      </c>
      <c r="E25" s="95">
        <v>14712619</v>
      </c>
      <c r="F25" s="95">
        <v>0</v>
      </c>
      <c r="G25" s="120"/>
      <c r="H25" s="336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1">
        <v>0</v>
      </c>
      <c r="R25" s="122">
        <v>0</v>
      </c>
    </row>
    <row r="26" spans="1:18" ht="33.75" customHeight="1">
      <c r="A26" s="110">
        <v>5</v>
      </c>
      <c r="B26" s="563" t="s">
        <v>88</v>
      </c>
      <c r="C26" s="563"/>
      <c r="D26" s="114">
        <v>0</v>
      </c>
      <c r="E26" s="114">
        <v>0</v>
      </c>
      <c r="F26" s="111">
        <v>0</v>
      </c>
      <c r="G26" s="115">
        <v>0</v>
      </c>
      <c r="H26" s="335">
        <v>0</v>
      </c>
      <c r="I26" s="111">
        <v>0</v>
      </c>
      <c r="J26" s="111">
        <v>0</v>
      </c>
      <c r="K26" s="104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2">
        <v>0</v>
      </c>
      <c r="R26" s="113">
        <v>0</v>
      </c>
    </row>
    <row r="27" spans="1:18" ht="20.25" customHeight="1">
      <c r="A27" s="110">
        <v>6</v>
      </c>
      <c r="B27" s="563" t="s">
        <v>89</v>
      </c>
      <c r="C27" s="563"/>
      <c r="D27" s="111">
        <f aca="true" t="shared" si="4" ref="D27:R27">D23+D24+D26</f>
        <v>56706088</v>
      </c>
      <c r="E27" s="111">
        <f t="shared" si="4"/>
        <v>37370217</v>
      </c>
      <c r="F27" s="111">
        <f t="shared" si="4"/>
        <v>13868249</v>
      </c>
      <c r="G27" s="115">
        <f>G23+G24+G26</f>
        <v>10311681</v>
      </c>
      <c r="H27" s="335">
        <f>H23+H24+H26</f>
        <v>26705046</v>
      </c>
      <c r="I27" s="111">
        <f>I23+I24+I26</f>
        <v>88644201</v>
      </c>
      <c r="J27" s="111">
        <f t="shared" si="4"/>
        <v>53745104</v>
      </c>
      <c r="K27" s="104">
        <f t="shared" si="4"/>
        <v>22916854</v>
      </c>
      <c r="L27" s="111">
        <f>L23+L24+L26</f>
        <v>37138006</v>
      </c>
      <c r="M27" s="111">
        <f t="shared" si="4"/>
        <v>17959506</v>
      </c>
      <c r="N27" s="111">
        <f t="shared" si="4"/>
        <v>18230863</v>
      </c>
      <c r="O27" s="111">
        <f t="shared" si="4"/>
        <v>6121359</v>
      </c>
      <c r="P27" s="111">
        <f t="shared" si="4"/>
        <v>4165799</v>
      </c>
      <c r="Q27" s="112">
        <f t="shared" si="4"/>
        <v>5775051</v>
      </c>
      <c r="R27" s="113">
        <f t="shared" si="4"/>
        <v>16719456</v>
      </c>
    </row>
    <row r="28" spans="1:18" ht="20.25" customHeight="1">
      <c r="A28" s="110">
        <v>7</v>
      </c>
      <c r="B28" s="563" t="s">
        <v>90</v>
      </c>
      <c r="C28" s="563"/>
      <c r="D28" s="114">
        <f aca="true" t="shared" si="5" ref="D28:R28">D29+D33</f>
        <v>1473579</v>
      </c>
      <c r="E28" s="114">
        <f t="shared" si="5"/>
        <v>1883950</v>
      </c>
      <c r="F28" s="114">
        <f t="shared" si="5"/>
        <v>4502192</v>
      </c>
      <c r="G28" s="115">
        <f>G29+G33</f>
        <v>9065858</v>
      </c>
      <c r="H28" s="337">
        <f t="shared" si="5"/>
        <v>6883561</v>
      </c>
      <c r="I28" s="114">
        <v>9232930</v>
      </c>
      <c r="J28" s="114">
        <f t="shared" si="5"/>
        <v>9953843</v>
      </c>
      <c r="K28" s="115">
        <f t="shared" si="5"/>
        <v>9376854</v>
      </c>
      <c r="L28" s="114">
        <f t="shared" si="5"/>
        <v>8138006</v>
      </c>
      <c r="M28" s="114">
        <f t="shared" si="5"/>
        <v>7959506</v>
      </c>
      <c r="N28" s="114">
        <f t="shared" si="5"/>
        <v>8230863</v>
      </c>
      <c r="O28" s="114">
        <f t="shared" si="5"/>
        <v>6121359.26</v>
      </c>
      <c r="P28" s="114">
        <f t="shared" si="5"/>
        <v>4165798.54</v>
      </c>
      <c r="Q28" s="123">
        <f t="shared" si="5"/>
        <v>3775051.43</v>
      </c>
      <c r="R28" s="124">
        <f t="shared" si="5"/>
        <v>4719456.3225</v>
      </c>
    </row>
    <row r="29" spans="1:19" s="19" customFormat="1" ht="36" customHeight="1">
      <c r="A29" s="125" t="s">
        <v>69</v>
      </c>
      <c r="B29" s="596" t="s">
        <v>91</v>
      </c>
      <c r="C29" s="596"/>
      <c r="D29" s="120">
        <v>1167600</v>
      </c>
      <c r="E29" s="97">
        <v>1422000</v>
      </c>
      <c r="F29" s="97">
        <v>3463314</v>
      </c>
      <c r="G29" s="120">
        <v>6940085</v>
      </c>
      <c r="H29" s="334">
        <v>4551585</v>
      </c>
      <c r="I29" s="97">
        <f>SUM(I30:I32)</f>
        <v>6935040</v>
      </c>
      <c r="J29" s="97">
        <f>SUM(J30:J32)</f>
        <v>7266899</v>
      </c>
      <c r="K29" s="97">
        <f aca="true" t="shared" si="6" ref="K29:R29">SUM(K30:K32)</f>
        <v>7106453</v>
      </c>
      <c r="L29" s="97">
        <f t="shared" si="6"/>
        <v>6150000</v>
      </c>
      <c r="M29" s="97">
        <f t="shared" si="6"/>
        <v>6250000</v>
      </c>
      <c r="N29" s="97">
        <f t="shared" si="6"/>
        <v>6801170</v>
      </c>
      <c r="O29" s="97">
        <f t="shared" si="6"/>
        <v>5062028</v>
      </c>
      <c r="P29" s="97">
        <f t="shared" si="6"/>
        <v>3450523</v>
      </c>
      <c r="Q29" s="97">
        <f t="shared" si="6"/>
        <v>3300000</v>
      </c>
      <c r="R29" s="97">
        <f t="shared" si="6"/>
        <v>4523949</v>
      </c>
      <c r="S29" s="30"/>
    </row>
    <row r="30" spans="1:19" s="19" customFormat="1" ht="19.5" customHeight="1">
      <c r="A30" s="125"/>
      <c r="B30" s="597" t="s">
        <v>74</v>
      </c>
      <c r="C30" s="126" t="s">
        <v>92</v>
      </c>
      <c r="D30" s="120">
        <v>1167600</v>
      </c>
      <c r="E30" s="97">
        <v>1422000</v>
      </c>
      <c r="F30" s="97">
        <v>2963314</v>
      </c>
      <c r="G30" s="120">
        <v>3340085</v>
      </c>
      <c r="H30" s="334">
        <v>2141585</v>
      </c>
      <c r="I30" s="97">
        <f>Arkusz5!J9</f>
        <v>3535040</v>
      </c>
      <c r="J30" s="97">
        <f>Arkusz5!J13</f>
        <v>3666899</v>
      </c>
      <c r="K30" s="97">
        <f>Arkusz5!J17</f>
        <v>3506453</v>
      </c>
      <c r="L30" s="97">
        <f>Arkusz5!J21</f>
        <v>2550000</v>
      </c>
      <c r="M30" s="97">
        <f>Arkusz5!J25</f>
        <v>2550000</v>
      </c>
      <c r="N30" s="97">
        <f>Arkusz5!J29</f>
        <v>2401170</v>
      </c>
      <c r="O30" s="97">
        <f>Arkusz5!J33</f>
        <v>62028</v>
      </c>
      <c r="P30" s="97">
        <f>Arkusz5!J37</f>
        <v>750523</v>
      </c>
      <c r="Q30" s="101">
        <f>Arkusz5!J41</f>
        <v>600000</v>
      </c>
      <c r="R30" s="102">
        <f>Arkusz5!J45</f>
        <v>423949</v>
      </c>
      <c r="S30" s="30"/>
    </row>
    <row r="31" spans="1:19" s="19" customFormat="1" ht="19.5" customHeight="1">
      <c r="A31" s="125"/>
      <c r="B31" s="597"/>
      <c r="C31" s="126" t="s">
        <v>93</v>
      </c>
      <c r="D31" s="120"/>
      <c r="E31" s="97"/>
      <c r="F31" s="97">
        <v>500000</v>
      </c>
      <c r="G31" s="120">
        <v>3600000</v>
      </c>
      <c r="H31" s="334">
        <v>410000</v>
      </c>
      <c r="I31" s="97">
        <v>400000</v>
      </c>
      <c r="J31" s="97">
        <v>600000</v>
      </c>
      <c r="K31" s="97">
        <v>600000</v>
      </c>
      <c r="L31" s="97">
        <v>600000</v>
      </c>
      <c r="M31" s="97">
        <v>700000</v>
      </c>
      <c r="N31" s="97">
        <v>1400000</v>
      </c>
      <c r="O31" s="97"/>
      <c r="P31" s="97"/>
      <c r="Q31" s="101"/>
      <c r="R31" s="102"/>
      <c r="S31" s="30"/>
    </row>
    <row r="32" spans="1:19" s="19" customFormat="1" ht="19.5" customHeight="1">
      <c r="A32" s="125"/>
      <c r="B32" s="597"/>
      <c r="C32" s="126" t="s">
        <v>94</v>
      </c>
      <c r="D32" s="120"/>
      <c r="E32" s="97"/>
      <c r="F32" s="97"/>
      <c r="G32" s="120"/>
      <c r="H32" s="334">
        <v>2000000</v>
      </c>
      <c r="I32" s="97">
        <f>'spł obligacji'!J9</f>
        <v>3000000</v>
      </c>
      <c r="J32" s="97">
        <f>'spł obligacji'!J13</f>
        <v>3000000</v>
      </c>
      <c r="K32" s="97">
        <f>'spł obligacji'!J17</f>
        <v>3000000</v>
      </c>
      <c r="L32" s="97">
        <f>'spł obligacji'!J21</f>
        <v>3000000</v>
      </c>
      <c r="M32" s="97">
        <f>'spł obligacji'!J25</f>
        <v>3000000</v>
      </c>
      <c r="N32" s="97">
        <f>'spł obligacji'!J29</f>
        <v>3000000</v>
      </c>
      <c r="O32" s="97">
        <f>'spł obligacji'!J33</f>
        <v>5000000</v>
      </c>
      <c r="P32" s="97">
        <f>'spł obligacji'!J37</f>
        <v>2700000</v>
      </c>
      <c r="Q32" s="101">
        <f>'spł obligacji'!J41</f>
        <v>2700000</v>
      </c>
      <c r="R32" s="102">
        <f>'spł obligacji'!J45</f>
        <v>4100000</v>
      </c>
      <c r="S32" s="30"/>
    </row>
    <row r="33" spans="1:18" ht="20.25" customHeight="1">
      <c r="A33" s="94" t="s">
        <v>71</v>
      </c>
      <c r="B33" s="564" t="s">
        <v>95</v>
      </c>
      <c r="C33" s="564"/>
      <c r="D33" s="95">
        <v>305979</v>
      </c>
      <c r="E33" s="96">
        <v>461950</v>
      </c>
      <c r="F33" s="96">
        <v>1038878</v>
      </c>
      <c r="G33" s="120">
        <v>2125773</v>
      </c>
      <c r="H33" s="334">
        <v>2331976</v>
      </c>
      <c r="I33" s="96">
        <f>Arkusz5!K9+'spł obligacji'!K4+161250</f>
        <v>2297890</v>
      </c>
      <c r="J33" s="96">
        <f>'spł obligacji'!K13+Arkusz5!K13+146250</f>
        <v>2686944</v>
      </c>
      <c r="K33" s="97">
        <f>'spł obligacji'!K17+Arkusz5!K17+123750</f>
        <v>2270401</v>
      </c>
      <c r="L33" s="96">
        <f>'spł obligacji'!K21+Arkusz5!K21+101250</f>
        <v>1988006</v>
      </c>
      <c r="M33" s="96">
        <f>'spł obligacji'!K25+Arkusz5!K25+78750</f>
        <v>1709506</v>
      </c>
      <c r="N33" s="96">
        <f>'spł obligacji'!K29+Arkusz5!K29+52500</f>
        <v>1429693</v>
      </c>
      <c r="O33" s="96">
        <f>'spł obligacji'!K33+Arkusz5!K33</f>
        <v>1059331.26</v>
      </c>
      <c r="P33" s="96">
        <f>'spł obligacji'!K37+Arkusz5!K37</f>
        <v>715275.5400000002</v>
      </c>
      <c r="Q33" s="98">
        <f>Arkusz5!K41+'spł obligacji'!K41</f>
        <v>475051.43</v>
      </c>
      <c r="R33" s="99">
        <f>'spł obligacji'!K45+Arkusz5!K45</f>
        <v>195507.32250000004</v>
      </c>
    </row>
    <row r="34" spans="1:18" ht="20.25" customHeight="1">
      <c r="A34" s="110">
        <v>8</v>
      </c>
      <c r="B34" s="563" t="s">
        <v>96</v>
      </c>
      <c r="C34" s="563"/>
      <c r="D34" s="114">
        <v>0</v>
      </c>
      <c r="E34" s="111">
        <v>0</v>
      </c>
      <c r="F34" s="111">
        <v>0</v>
      </c>
      <c r="G34" s="115">
        <v>40000</v>
      </c>
      <c r="H34" s="335">
        <v>0</v>
      </c>
      <c r="I34" s="111">
        <v>0</v>
      </c>
      <c r="J34" s="111">
        <v>0</v>
      </c>
      <c r="K34" s="104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2">
        <v>0</v>
      </c>
      <c r="R34" s="113">
        <v>0</v>
      </c>
    </row>
    <row r="35" spans="1:18" ht="37.5" customHeight="1">
      <c r="A35" s="103">
        <v>9</v>
      </c>
      <c r="B35" s="565" t="s">
        <v>223</v>
      </c>
      <c r="C35" s="565"/>
      <c r="D35" s="104">
        <f aca="true" t="shared" si="7" ref="D35:P35">D27-D28-D34</f>
        <v>55232509</v>
      </c>
      <c r="E35" s="104">
        <f t="shared" si="7"/>
        <v>35486267</v>
      </c>
      <c r="F35" s="104">
        <f t="shared" si="7"/>
        <v>9366057</v>
      </c>
      <c r="G35" s="115">
        <f>G27-G28-G34</f>
        <v>1205823</v>
      </c>
      <c r="H35" s="335">
        <f>H27-H28-H34</f>
        <v>19821485</v>
      </c>
      <c r="I35" s="104">
        <f>I27-I28-I34</f>
        <v>79411271</v>
      </c>
      <c r="J35" s="104">
        <f>J27-J28-J34</f>
        <v>43791261</v>
      </c>
      <c r="K35" s="104">
        <f t="shared" si="7"/>
        <v>13540000</v>
      </c>
      <c r="L35" s="104">
        <f t="shared" si="7"/>
        <v>29000000</v>
      </c>
      <c r="M35" s="104">
        <f t="shared" si="7"/>
        <v>10000000</v>
      </c>
      <c r="N35" s="104">
        <f t="shared" si="7"/>
        <v>10000000</v>
      </c>
      <c r="O35" s="104">
        <f t="shared" si="7"/>
        <v>-0.2599999997764826</v>
      </c>
      <c r="P35" s="104">
        <f t="shared" si="7"/>
        <v>0.4599999999627471</v>
      </c>
      <c r="Q35" s="105">
        <f>Q36</f>
        <v>2000000</v>
      </c>
      <c r="R35" s="106">
        <f>R36</f>
        <v>12000000</v>
      </c>
    </row>
    <row r="36" spans="1:18" ht="20.25" customHeight="1">
      <c r="A36" s="103">
        <v>10</v>
      </c>
      <c r="B36" s="565" t="s">
        <v>97</v>
      </c>
      <c r="C36" s="565"/>
      <c r="D36" s="115">
        <v>38733128.64</v>
      </c>
      <c r="E36" s="104">
        <v>43312675.57</v>
      </c>
      <c r="F36" s="104">
        <v>33260582</v>
      </c>
      <c r="G36" s="115">
        <v>9778746</v>
      </c>
      <c r="H36" s="335">
        <v>33421485</v>
      </c>
      <c r="I36" s="104">
        <f aca="true" t="shared" si="8" ref="I36:P36">I37</f>
        <v>79411271</v>
      </c>
      <c r="J36" s="104">
        <f>J37</f>
        <v>43791261</v>
      </c>
      <c r="K36" s="104">
        <f t="shared" si="8"/>
        <v>13540000</v>
      </c>
      <c r="L36" s="104">
        <f t="shared" si="8"/>
        <v>29000000</v>
      </c>
      <c r="M36" s="104">
        <v>10000000</v>
      </c>
      <c r="N36" s="104">
        <v>10000000</v>
      </c>
      <c r="O36" s="104">
        <f t="shared" si="8"/>
        <v>0</v>
      </c>
      <c r="P36" s="104">
        <f t="shared" si="8"/>
        <v>0</v>
      </c>
      <c r="Q36" s="104">
        <v>2000000</v>
      </c>
      <c r="R36" s="104">
        <v>12000000</v>
      </c>
    </row>
    <row r="37" spans="1:18" ht="36" customHeight="1">
      <c r="A37" s="94" t="s">
        <v>69</v>
      </c>
      <c r="B37" s="127" t="s">
        <v>74</v>
      </c>
      <c r="C37" s="100" t="s">
        <v>98</v>
      </c>
      <c r="D37" s="95" t="s">
        <v>84</v>
      </c>
      <c r="E37" s="96" t="s">
        <v>84</v>
      </c>
      <c r="F37" s="96" t="s">
        <v>84</v>
      </c>
      <c r="G37" s="120" t="s">
        <v>84</v>
      </c>
      <c r="H37" s="334">
        <f>'Wykaz przedsięwzięć'!L15</f>
        <v>15721018</v>
      </c>
      <c r="I37" s="97">
        <f>'Wykaz przedsięwzięć'!M13</f>
        <v>79411271</v>
      </c>
      <c r="J37" s="97">
        <f>'Wykaz przedsięwzięć'!N13</f>
        <v>43791261</v>
      </c>
      <c r="K37" s="97">
        <f>'Wykaz przedsięwzięć'!O14</f>
        <v>13540000</v>
      </c>
      <c r="L37" s="97">
        <f>'Wykaz przedsięwzięć'!P14</f>
        <v>29000000</v>
      </c>
      <c r="M37" s="97"/>
      <c r="N37" s="97"/>
      <c r="O37" s="97"/>
      <c r="P37" s="97"/>
      <c r="Q37" s="101"/>
      <c r="R37" s="102"/>
    </row>
    <row r="38" spans="1:18" ht="15">
      <c r="A38" s="128"/>
      <c r="B38" s="129"/>
      <c r="C38" s="130"/>
      <c r="D38" s="131"/>
      <c r="E38" s="132"/>
      <c r="F38" s="132"/>
      <c r="G38" s="330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ht="15">
      <c r="A39" s="134"/>
      <c r="B39" s="135"/>
      <c r="C39" s="136"/>
      <c r="D39" s="137"/>
      <c r="E39" s="138"/>
      <c r="F39" s="138"/>
      <c r="G39" s="331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18" ht="15">
      <c r="A40" s="134"/>
      <c r="B40" s="135"/>
      <c r="C40" s="136"/>
      <c r="D40" s="137"/>
      <c r="E40" s="138"/>
      <c r="F40" s="138"/>
      <c r="G40" s="331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</row>
    <row r="41" spans="1:18" ht="24" customHeight="1">
      <c r="A41" s="134"/>
      <c r="B41" s="135"/>
      <c r="C41" s="136"/>
      <c r="D41" s="137"/>
      <c r="E41" s="138"/>
      <c r="F41" s="138"/>
      <c r="G41" s="331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5">
      <c r="A42" s="134"/>
      <c r="B42" s="135"/>
      <c r="C42" s="136"/>
      <c r="D42" s="137"/>
      <c r="E42" s="138"/>
      <c r="F42" s="138"/>
      <c r="G42" s="331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18" ht="27" customHeight="1">
      <c r="A43" s="134"/>
      <c r="B43" s="135"/>
      <c r="C43" s="136"/>
      <c r="D43" s="137"/>
      <c r="E43" s="138"/>
      <c r="F43" s="138"/>
      <c r="G43" s="331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</row>
    <row r="44" spans="1:18" ht="29.25" customHeight="1">
      <c r="A44" s="134"/>
      <c r="B44" s="135"/>
      <c r="C44" s="136"/>
      <c r="D44" s="137"/>
      <c r="E44" s="138"/>
      <c r="F44" s="138"/>
      <c r="G44" s="331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</row>
    <row r="45" spans="1:18" ht="15">
      <c r="A45" s="134"/>
      <c r="B45" s="135"/>
      <c r="C45" s="136"/>
      <c r="D45" s="137"/>
      <c r="E45" s="138"/>
      <c r="F45" s="138"/>
      <c r="G45" s="331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</row>
    <row r="46" spans="1:18" ht="15">
      <c r="A46" s="134"/>
      <c r="B46" s="135"/>
      <c r="C46" s="136"/>
      <c r="D46" s="137"/>
      <c r="E46" s="138"/>
      <c r="F46" s="138"/>
      <c r="G46" s="331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</row>
    <row r="47" spans="1:18" ht="18" customHeight="1">
      <c r="A47" s="134"/>
      <c r="B47" s="135"/>
      <c r="C47" s="136"/>
      <c r="D47" s="137"/>
      <c r="E47" s="138"/>
      <c r="F47" s="138"/>
      <c r="G47" s="331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</row>
    <row r="48" spans="1:18" ht="6.75" customHeight="1">
      <c r="A48" s="134"/>
      <c r="B48" s="135"/>
      <c r="C48" s="136"/>
      <c r="D48" s="137"/>
      <c r="E48" s="138"/>
      <c r="F48" s="138"/>
      <c r="G48" s="331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</row>
    <row r="49" spans="1:18" ht="14.25" customHeight="1" thickBot="1">
      <c r="A49" s="587" t="s">
        <v>63</v>
      </c>
      <c r="B49" s="580" t="s">
        <v>64</v>
      </c>
      <c r="C49" s="580"/>
      <c r="D49" s="580" t="s">
        <v>65</v>
      </c>
      <c r="E49" s="580"/>
      <c r="F49" s="580"/>
      <c r="G49" s="580"/>
      <c r="H49" s="580"/>
      <c r="I49" s="580"/>
      <c r="J49" s="580"/>
      <c r="K49" s="580"/>
      <c r="L49" s="580"/>
      <c r="M49" s="580"/>
      <c r="N49" s="580"/>
      <c r="O49" s="580"/>
      <c r="P49" s="580"/>
      <c r="Q49" s="580"/>
      <c r="R49" s="580"/>
    </row>
    <row r="50" spans="1:18" ht="14.25" customHeight="1" thickBot="1">
      <c r="A50" s="587"/>
      <c r="B50" s="580"/>
      <c r="C50" s="580"/>
      <c r="D50" s="560" t="s">
        <v>66</v>
      </c>
      <c r="E50" s="561"/>
      <c r="F50" s="561"/>
      <c r="G50" s="593"/>
      <c r="H50" s="580" t="s">
        <v>67</v>
      </c>
      <c r="I50" s="580"/>
      <c r="J50" s="580"/>
      <c r="K50" s="580"/>
      <c r="L50" s="580"/>
      <c r="M50" s="580"/>
      <c r="N50" s="580"/>
      <c r="O50" s="580"/>
      <c r="P50" s="580"/>
      <c r="Q50" s="580"/>
      <c r="R50" s="580"/>
    </row>
    <row r="51" spans="1:18" ht="13.5" thickBot="1">
      <c r="A51" s="587"/>
      <c r="B51" s="580"/>
      <c r="C51" s="580"/>
      <c r="D51" s="587">
        <v>2007</v>
      </c>
      <c r="E51" s="587">
        <v>2008</v>
      </c>
      <c r="F51" s="587">
        <v>2009</v>
      </c>
      <c r="G51" s="594">
        <v>2010</v>
      </c>
      <c r="H51" s="588">
        <v>2011</v>
      </c>
      <c r="I51" s="587">
        <v>2012</v>
      </c>
      <c r="J51" s="587">
        <v>2013</v>
      </c>
      <c r="K51" s="587">
        <v>2014</v>
      </c>
      <c r="L51" s="587">
        <v>2015</v>
      </c>
      <c r="M51" s="587">
        <v>2016</v>
      </c>
      <c r="N51" s="587">
        <v>2017</v>
      </c>
      <c r="O51" s="587">
        <v>2018</v>
      </c>
      <c r="P51" s="587">
        <v>2019</v>
      </c>
      <c r="Q51" s="587">
        <v>2020</v>
      </c>
      <c r="R51" s="587">
        <v>2021</v>
      </c>
    </row>
    <row r="52" spans="1:18" ht="13.5" thickBot="1">
      <c r="A52" s="587"/>
      <c r="B52" s="580"/>
      <c r="C52" s="580"/>
      <c r="D52" s="587"/>
      <c r="E52" s="587"/>
      <c r="F52" s="587"/>
      <c r="G52" s="595"/>
      <c r="H52" s="588"/>
      <c r="I52" s="587"/>
      <c r="J52" s="587"/>
      <c r="K52" s="587"/>
      <c r="L52" s="587"/>
      <c r="M52" s="587"/>
      <c r="N52" s="587"/>
      <c r="O52" s="587"/>
      <c r="P52" s="587"/>
      <c r="Q52" s="587"/>
      <c r="R52" s="587"/>
    </row>
    <row r="53" spans="1:18" ht="27" customHeight="1">
      <c r="A53" s="110">
        <v>11</v>
      </c>
      <c r="B53" s="563" t="s">
        <v>99</v>
      </c>
      <c r="C53" s="563"/>
      <c r="D53" s="114">
        <v>3355000</v>
      </c>
      <c r="E53" s="111">
        <v>11546170</v>
      </c>
      <c r="F53" s="111">
        <v>25140000</v>
      </c>
      <c r="G53" s="115">
        <v>9000000</v>
      </c>
      <c r="H53" s="335">
        <f>SUM(H54:H57)</f>
        <v>13600000</v>
      </c>
      <c r="I53" s="111"/>
      <c r="J53" s="111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2">
        <v>0</v>
      </c>
      <c r="R53" s="113">
        <v>0</v>
      </c>
    </row>
    <row r="54" spans="1:18" ht="21" customHeight="1">
      <c r="A54" s="140"/>
      <c r="B54" s="575" t="s">
        <v>74</v>
      </c>
      <c r="C54" s="126" t="s">
        <v>92</v>
      </c>
      <c r="D54" s="96">
        <v>3355000</v>
      </c>
      <c r="E54" s="96">
        <v>7546170</v>
      </c>
      <c r="F54" s="96">
        <v>6330000</v>
      </c>
      <c r="G54" s="97"/>
      <c r="H54" s="334">
        <v>2100000</v>
      </c>
      <c r="I54" s="96"/>
      <c r="J54" s="141"/>
      <c r="K54" s="142"/>
      <c r="L54" s="141"/>
      <c r="M54" s="141"/>
      <c r="N54" s="141"/>
      <c r="O54" s="141"/>
      <c r="P54" s="141"/>
      <c r="Q54" s="143"/>
      <c r="R54" s="144"/>
    </row>
    <row r="55" spans="1:18" ht="21" customHeight="1">
      <c r="A55" s="171"/>
      <c r="B55" s="576"/>
      <c r="C55" s="126" t="s">
        <v>93</v>
      </c>
      <c r="D55" s="96"/>
      <c r="E55" s="96">
        <v>4000000</v>
      </c>
      <c r="F55" s="96">
        <v>4810000</v>
      </c>
      <c r="G55" s="97"/>
      <c r="H55" s="334">
        <v>0</v>
      </c>
      <c r="I55" s="96"/>
      <c r="J55" s="141"/>
      <c r="K55" s="142"/>
      <c r="L55" s="141"/>
      <c r="M55" s="141"/>
      <c r="N55" s="141"/>
      <c r="O55" s="141"/>
      <c r="P55" s="141"/>
      <c r="Q55" s="143"/>
      <c r="R55" s="144"/>
    </row>
    <row r="56" spans="1:18" ht="21" customHeight="1">
      <c r="A56" s="171"/>
      <c r="B56" s="576"/>
      <c r="C56" s="126" t="s">
        <v>224</v>
      </c>
      <c r="D56" s="96"/>
      <c r="E56" s="96"/>
      <c r="F56" s="96">
        <v>14000000</v>
      </c>
      <c r="G56" s="97">
        <v>9000000</v>
      </c>
      <c r="H56" s="334">
        <v>7000000</v>
      </c>
      <c r="I56" s="96"/>
      <c r="J56" s="141"/>
      <c r="K56" s="142"/>
      <c r="L56" s="141"/>
      <c r="M56" s="141"/>
      <c r="N56" s="141"/>
      <c r="O56" s="141"/>
      <c r="P56" s="141"/>
      <c r="Q56" s="143"/>
      <c r="R56" s="144"/>
    </row>
    <row r="57" spans="1:18" ht="36.75" customHeight="1">
      <c r="A57" s="171"/>
      <c r="B57" s="577"/>
      <c r="C57" s="126" t="s">
        <v>225</v>
      </c>
      <c r="D57" s="96"/>
      <c r="E57" s="96"/>
      <c r="F57" s="96"/>
      <c r="G57" s="97"/>
      <c r="H57" s="334">
        <v>4500000</v>
      </c>
      <c r="I57" s="96"/>
      <c r="J57" s="141"/>
      <c r="K57" s="142"/>
      <c r="L57" s="141"/>
      <c r="M57" s="141"/>
      <c r="N57" s="141"/>
      <c r="O57" s="141"/>
      <c r="P57" s="141"/>
      <c r="Q57" s="143"/>
      <c r="R57" s="144"/>
    </row>
    <row r="58" spans="1:18" ht="68.25" customHeight="1">
      <c r="A58" s="110" t="s">
        <v>69</v>
      </c>
      <c r="B58" s="578" t="s">
        <v>101</v>
      </c>
      <c r="C58" s="579"/>
      <c r="D58" s="96">
        <v>13695715</v>
      </c>
      <c r="E58" s="96">
        <v>15733115</v>
      </c>
      <c r="F58" s="96">
        <v>3719761</v>
      </c>
      <c r="G58" s="97">
        <v>1245475</v>
      </c>
      <c r="H58" s="334">
        <v>427077</v>
      </c>
      <c r="I58" s="96"/>
      <c r="J58" s="141"/>
      <c r="K58" s="142"/>
      <c r="L58" s="141"/>
      <c r="M58" s="141"/>
      <c r="N58" s="141"/>
      <c r="O58" s="141"/>
      <c r="P58" s="141"/>
      <c r="Q58" s="143"/>
      <c r="R58" s="144"/>
    </row>
    <row r="59" spans="1:18" ht="21" customHeight="1">
      <c r="A59" s="110" t="s">
        <v>71</v>
      </c>
      <c r="B59" s="578" t="s">
        <v>102</v>
      </c>
      <c r="C59" s="579"/>
      <c r="D59" s="96">
        <v>22633590</v>
      </c>
      <c r="E59" s="96">
        <v>4121265</v>
      </c>
      <c r="F59" s="96"/>
      <c r="G59" s="97"/>
      <c r="H59" s="334"/>
      <c r="I59" s="96"/>
      <c r="J59" s="141"/>
      <c r="K59" s="142"/>
      <c r="L59" s="141"/>
      <c r="M59" s="141"/>
      <c r="N59" s="141"/>
      <c r="O59" s="141"/>
      <c r="P59" s="141"/>
      <c r="Q59" s="143"/>
      <c r="R59" s="144"/>
    </row>
    <row r="60" spans="1:18" ht="29.25" customHeight="1">
      <c r="A60" s="145">
        <v>12</v>
      </c>
      <c r="B60" s="591" t="s">
        <v>103</v>
      </c>
      <c r="C60" s="591"/>
      <c r="D60" s="146">
        <f aca="true" t="shared" si="9" ref="D60:J60">D35-D36+D53</f>
        <v>19854380.36</v>
      </c>
      <c r="E60" s="146">
        <f t="shared" si="9"/>
        <v>3719761.4299999997</v>
      </c>
      <c r="F60" s="323">
        <f t="shared" si="9"/>
        <v>1245475</v>
      </c>
      <c r="G60" s="324">
        <f>G35-G36+G53</f>
        <v>427077</v>
      </c>
      <c r="H60" s="324">
        <f>H35-H36+H53</f>
        <v>0</v>
      </c>
      <c r="I60" s="147">
        <f>I35-I36+I53</f>
        <v>0</v>
      </c>
      <c r="J60" s="147">
        <f t="shared" si="9"/>
        <v>0</v>
      </c>
      <c r="K60" s="147">
        <f>K35-K36+K53</f>
        <v>0</v>
      </c>
      <c r="L60" s="146">
        <f aca="true" t="shared" si="10" ref="L60:R60">L35-L36-L53</f>
        <v>0</v>
      </c>
      <c r="M60" s="146">
        <f t="shared" si="10"/>
        <v>0</v>
      </c>
      <c r="N60" s="146">
        <f t="shared" si="10"/>
        <v>0</v>
      </c>
      <c r="O60" s="146">
        <f t="shared" si="10"/>
        <v>-0.2599999997764826</v>
      </c>
      <c r="P60" s="146">
        <f t="shared" si="10"/>
        <v>0.4599999999627471</v>
      </c>
      <c r="Q60" s="148">
        <f t="shared" si="10"/>
        <v>0</v>
      </c>
      <c r="R60" s="149">
        <f t="shared" si="10"/>
        <v>0</v>
      </c>
    </row>
    <row r="61" spans="1:19" ht="22.5" customHeight="1">
      <c r="A61" s="150">
        <v>13</v>
      </c>
      <c r="B61" s="574" t="s">
        <v>104</v>
      </c>
      <c r="C61" s="574"/>
      <c r="D61" s="114">
        <f>'Prognoza długu'!C10</f>
        <v>15733115</v>
      </c>
      <c r="E61" s="114">
        <f>'Prognoza długu'!D10</f>
        <v>24061046</v>
      </c>
      <c r="F61" s="114">
        <f>'Prognoza długu'!E10</f>
        <v>45737732</v>
      </c>
      <c r="G61" s="115">
        <f>'Prognoza długu'!F10</f>
        <v>47797647</v>
      </c>
      <c r="H61" s="337">
        <f>'Prognoza długu'!G10</f>
        <v>56846062</v>
      </c>
      <c r="I61" s="115">
        <f>'Prognoza długu'!H10</f>
        <v>49911022</v>
      </c>
      <c r="J61" s="115">
        <f>'Prognoza długu'!I10</f>
        <v>42644123</v>
      </c>
      <c r="K61" s="115">
        <f>'Prognoza długu'!J10</f>
        <v>35537670</v>
      </c>
      <c r="L61" s="115">
        <f>'Prognoza długu'!K10</f>
        <v>29387670</v>
      </c>
      <c r="M61" s="114">
        <f>'Prognoza długu'!L10</f>
        <v>23137670</v>
      </c>
      <c r="N61" s="114">
        <f>'Prognoza długu'!M10</f>
        <v>16336500</v>
      </c>
      <c r="O61" s="114">
        <f>'Prognoza długu'!N10</f>
        <v>11274472</v>
      </c>
      <c r="P61" s="114">
        <f>'Prognoza długu'!O10</f>
        <v>7823949</v>
      </c>
      <c r="Q61" s="123">
        <f>'Prognoza długu'!P10</f>
        <v>4523949</v>
      </c>
      <c r="R61" s="124">
        <f>'Prognoza długu'!Q10</f>
        <v>0</v>
      </c>
      <c r="S61" s="33"/>
    </row>
    <row r="62" spans="1:18" ht="65.25" customHeight="1">
      <c r="A62" s="589"/>
      <c r="B62" s="590" t="s">
        <v>74</v>
      </c>
      <c r="C62" s="100" t="s">
        <v>105</v>
      </c>
      <c r="D62" s="111">
        <v>0</v>
      </c>
      <c r="E62" s="111">
        <v>0</v>
      </c>
      <c r="F62" s="111">
        <v>0</v>
      </c>
      <c r="G62" s="104">
        <v>0</v>
      </c>
      <c r="H62" s="335">
        <v>2100000</v>
      </c>
      <c r="I62" s="104">
        <v>2050000</v>
      </c>
      <c r="J62" s="104">
        <v>2000000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</row>
    <row r="63" spans="1:18" ht="87.75" customHeight="1">
      <c r="A63" s="589"/>
      <c r="B63" s="590"/>
      <c r="C63" s="100" t="s">
        <v>241</v>
      </c>
      <c r="D63" s="111">
        <v>0</v>
      </c>
      <c r="E63" s="111">
        <v>0</v>
      </c>
      <c r="F63" s="111">
        <v>0</v>
      </c>
      <c r="G63" s="104">
        <v>0</v>
      </c>
      <c r="H63" s="335"/>
      <c r="I63" s="104">
        <v>50000</v>
      </c>
      <c r="J63" s="104">
        <v>50000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</row>
    <row r="64" spans="1:18" ht="66" customHeight="1">
      <c r="A64" s="150">
        <v>14</v>
      </c>
      <c r="B64" s="573" t="s">
        <v>106</v>
      </c>
      <c r="C64" s="573"/>
      <c r="D64" s="111">
        <v>0</v>
      </c>
      <c r="E64" s="111">
        <v>0</v>
      </c>
      <c r="F64" s="111">
        <v>0</v>
      </c>
      <c r="G64" s="104">
        <v>0</v>
      </c>
      <c r="H64" s="335">
        <v>0</v>
      </c>
      <c r="I64" s="104">
        <v>0</v>
      </c>
      <c r="J64" s="104">
        <v>0</v>
      </c>
      <c r="K64" s="104">
        <v>0</v>
      </c>
      <c r="L64" s="104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</row>
    <row r="65" spans="1:18" ht="39" customHeight="1">
      <c r="A65" s="150">
        <v>15</v>
      </c>
      <c r="B65" s="573" t="s">
        <v>229</v>
      </c>
      <c r="C65" s="573"/>
      <c r="D65" s="151">
        <f aca="true" t="shared" si="11" ref="D65:J65">D28/D13*100</f>
        <v>1.959634752176012</v>
      </c>
      <c r="E65" s="151">
        <f t="shared" si="11"/>
        <v>2.328259487896857</v>
      </c>
      <c r="F65" s="151">
        <f t="shared" si="11"/>
        <v>5.510659630018439</v>
      </c>
      <c r="G65" s="325">
        <f t="shared" si="11"/>
        <v>10.653694792951553</v>
      </c>
      <c r="H65" s="338">
        <f t="shared" si="11"/>
        <v>6.026796122985511</v>
      </c>
      <c r="I65" s="325">
        <f t="shared" si="11"/>
        <v>5.500034681517044</v>
      </c>
      <c r="J65" s="325">
        <f t="shared" si="11"/>
        <v>7.497320799117638</v>
      </c>
      <c r="K65" s="325"/>
      <c r="L65" s="325"/>
      <c r="M65" s="151"/>
      <c r="N65" s="151"/>
      <c r="O65" s="151"/>
      <c r="P65" s="151"/>
      <c r="Q65" s="151"/>
      <c r="R65" s="152"/>
    </row>
    <row r="66" spans="1:18" ht="39" customHeight="1">
      <c r="A66" s="150">
        <v>16</v>
      </c>
      <c r="B66" s="573" t="s">
        <v>228</v>
      </c>
      <c r="C66" s="573"/>
      <c r="D66" s="151">
        <f aca="true" t="shared" si="12" ref="D66:J66">D61/D13*100</f>
        <v>20.922637275627366</v>
      </c>
      <c r="E66" s="151">
        <f t="shared" si="12"/>
        <v>29.735586739681374</v>
      </c>
      <c r="F66" s="151">
        <f t="shared" si="12"/>
        <v>55.98274647127499</v>
      </c>
      <c r="G66" s="325">
        <f t="shared" si="12"/>
        <v>56.16915056018266</v>
      </c>
      <c r="H66" s="338">
        <f>H61/H13*100</f>
        <v>49.77069660145293</v>
      </c>
      <c r="I66" s="326">
        <f t="shared" si="12"/>
        <v>29.73187839504471</v>
      </c>
      <c r="J66" s="326">
        <f t="shared" si="12"/>
        <v>32.11992296121517</v>
      </c>
      <c r="K66" s="326"/>
      <c r="L66" s="326"/>
      <c r="M66" s="153"/>
      <c r="N66" s="153"/>
      <c r="O66" s="153"/>
      <c r="P66" s="153"/>
      <c r="Q66" s="153"/>
      <c r="R66" s="153"/>
    </row>
    <row r="67" spans="1:18" ht="66.75" customHeight="1">
      <c r="A67" s="154">
        <v>17</v>
      </c>
      <c r="B67" s="573" t="s">
        <v>107</v>
      </c>
      <c r="C67" s="573"/>
      <c r="D67" s="155" t="s">
        <v>73</v>
      </c>
      <c r="E67" s="155" t="s">
        <v>73</v>
      </c>
      <c r="F67" s="155" t="s">
        <v>73</v>
      </c>
      <c r="G67" s="327">
        <f>1/3*((D14+D16-'Prognoza długu'!C25)/WPF!D13+(WPF!E14+WPF!E16-'Prognoza długu'!D25)/WPF!E13+(WPF!F14+WPF!F16-'Prognoza długu'!E25)/WPF!F13)</f>
        <v>0.1910646731760649</v>
      </c>
      <c r="H67" s="339">
        <f>1/3*((E14+E16-'Prognoza długu'!D25)/WPF!E13+(WPF!F14+WPF!F16-'Prognoza długu'!E25)/WPF!F13+(WPF!G14+WPF!G16-'Prognoza długu'!F25)/WPF!G13)</f>
        <v>0.1291721492426357</v>
      </c>
      <c r="I67" s="327">
        <f>1/3*((F14+F16-'Prognoza długu'!E25)/WPF!F13+(WPF!G14+WPF!G16-'Prognoza długu'!F25)/WPF!G13+(WPF!H14+WPF!H16-'Prognoza długu'!G25)/WPF!H13)</f>
        <v>0.12228231135639478</v>
      </c>
      <c r="J67" s="327">
        <f>1/3*((G14+G16-'Prognoza długu'!F25)/WPF!G13+(WPF!H14+WPF!H16-'Prognoza długu'!G25)/WPF!H13+(WPF!I14+WPF!I16-'Prognoza długu'!H25)/WPF!I13)</f>
        <v>0.16943908445485056</v>
      </c>
      <c r="K67" s="327">
        <f>1/3*((H14+H16-'Prognoza długu'!G25)/WPF!H13+(WPF!I14+WPF!I16-'Prognoza długu'!H25)/WPF!I13+(WPF!J14+WPF!J16-'Prognoza długu'!I25)/WPF!J13)</f>
        <v>0.23607895395230094</v>
      </c>
      <c r="L67" s="327">
        <f>1/3*((I14+I16-'Prognoza długu'!H25)/WPF!I13+(WPF!J14+WPF!J16-'Prognoza długu'!I25)/WPF!J13+(WPF!K14+WPF!K16-'Prognoza długu'!J25)/WPF!K13)</f>
        <v>0.23917682148860692</v>
      </c>
      <c r="M67" s="155">
        <f>1/3*((J14+J16-'Prognoza długu'!I25)/WPF!J13+(WPF!K14+WPF!K16-'Prognoza długu'!J25)/WPF!K13+(WPF!L14+WPF!L16-'Prognoza długu'!K25)/WPF!L13)</f>
        <v>0.23166588990485473</v>
      </c>
      <c r="N67" s="155">
        <f>1/3*((K14+K16-'Prognoza długu'!J25)/WPF!K13+(WPF!L14+WPF!L16-'Prognoza długu'!K25)/WPF!L13+(WPF!M14+WPF!M16-'Prognoza długu'!L25)/WPF!M13)</f>
        <v>0.19097168780487553</v>
      </c>
      <c r="O67" s="155">
        <f>1/3*((L14+L16-'Prognoza długu'!K25)/WPF!L13+(WPF!M14+WPF!M16-'Prognoza długu'!L25)/WPF!M13+(WPF!N14+WPF!N16-'Prognoza długu'!M25)/WPF!N13)</f>
        <v>0.17639009302935285</v>
      </c>
      <c r="P67" s="155">
        <f>1/3*((M14+M16-'Prognoza długu'!L25)/WPF!M13+(WPF!N14+WPF!N16-'Prognoza długu'!M25)/WPF!N13+(WPF!O14+WPF!O16-'Prognoza długu'!N25)/WPF!O13)</f>
        <v>0.11818883553926332</v>
      </c>
      <c r="Q67" s="155">
        <f>1/3*((N14+N16-'Prognoza długu'!M25)/WPF!N13+(WPF!O14+WPF!O16-'Prognoza długu'!N25)/WPF!O13+(WPF!P14+WPF!P16-'Prognoza długu'!O25)/WPF!P13)</f>
        <v>0.07740891882519615</v>
      </c>
      <c r="R67" s="155">
        <f>1/3*((O14+O16-'Prognoza długu'!N25)/WPF!O13+(WPF!P14+WPF!P16-'Prognoza długu'!O25)/WPF!P13+(WPF!Q14+WPF!Q16-'Prognoza długu'!P25)/WPF!Q13)</f>
        <v>0.04081875715619127</v>
      </c>
    </row>
    <row r="68" spans="1:18" ht="33.75" customHeight="1">
      <c r="A68" s="154">
        <v>18</v>
      </c>
      <c r="B68" s="573" t="s">
        <v>108</v>
      </c>
      <c r="C68" s="573"/>
      <c r="D68" s="156">
        <f>D28/D13</f>
        <v>0.01959634752176012</v>
      </c>
      <c r="E68" s="156">
        <f aca="true" t="shared" si="13" ref="E68:R68">E28/E13</f>
        <v>0.023282594878968572</v>
      </c>
      <c r="F68" s="156">
        <f t="shared" si="13"/>
        <v>0.055106596300184385</v>
      </c>
      <c r="G68" s="328">
        <f t="shared" si="13"/>
        <v>0.10653694792951553</v>
      </c>
      <c r="H68" s="340">
        <f t="shared" si="13"/>
        <v>0.06026796122985511</v>
      </c>
      <c r="I68" s="328">
        <f t="shared" si="13"/>
        <v>0.05500034681517044</v>
      </c>
      <c r="J68" s="328">
        <f t="shared" si="13"/>
        <v>0.07497320799117638</v>
      </c>
      <c r="K68" s="328">
        <f t="shared" si="13"/>
        <v>0.09046861930773767</v>
      </c>
      <c r="L68" s="328">
        <f t="shared" si="13"/>
        <v>0.06852576532352617</v>
      </c>
      <c r="M68" s="156">
        <f t="shared" si="13"/>
        <v>0.07519720415314615</v>
      </c>
      <c r="N68" s="156">
        <f t="shared" si="13"/>
        <v>0.07615654018567442</v>
      </c>
      <c r="O68" s="156">
        <f t="shared" si="13"/>
        <v>0.05513219155360449</v>
      </c>
      <c r="P68" s="156">
        <f t="shared" si="13"/>
        <v>0.03764544886082038</v>
      </c>
      <c r="Q68" s="156">
        <f t="shared" si="13"/>
        <v>0.0325390376290527</v>
      </c>
      <c r="R68" s="156">
        <f t="shared" si="13"/>
        <v>0.03612050673709365</v>
      </c>
    </row>
    <row r="69" spans="1:18" ht="38.25" customHeight="1">
      <c r="A69" s="154">
        <v>19</v>
      </c>
      <c r="B69" s="573" t="s">
        <v>109</v>
      </c>
      <c r="C69" s="573"/>
      <c r="D69" s="155" t="s">
        <v>73</v>
      </c>
      <c r="E69" s="155" t="s">
        <v>73</v>
      </c>
      <c r="F69" s="155" t="s">
        <v>73</v>
      </c>
      <c r="G69" s="327">
        <f>G67-G68</f>
        <v>0.08452772524654938</v>
      </c>
      <c r="H69" s="339">
        <f aca="true" t="shared" si="14" ref="H69:R69">H67-H68</f>
        <v>0.06890418801278059</v>
      </c>
      <c r="I69" s="327">
        <f t="shared" si="14"/>
        <v>0.06728196454122434</v>
      </c>
      <c r="J69" s="327">
        <f t="shared" si="14"/>
        <v>0.09446587646367419</v>
      </c>
      <c r="K69" s="327">
        <f t="shared" si="14"/>
        <v>0.14561033464456327</v>
      </c>
      <c r="L69" s="327">
        <f t="shared" si="14"/>
        <v>0.17065105616508075</v>
      </c>
      <c r="M69" s="327">
        <f t="shared" si="14"/>
        <v>0.15646868575170858</v>
      </c>
      <c r="N69" s="327">
        <f t="shared" si="14"/>
        <v>0.11481514761920111</v>
      </c>
      <c r="O69" s="327">
        <f t="shared" si="14"/>
        <v>0.12125790147574836</v>
      </c>
      <c r="P69" s="327">
        <f t="shared" si="14"/>
        <v>0.08054338667844294</v>
      </c>
      <c r="Q69" s="327">
        <f t="shared" si="14"/>
        <v>0.044869881196143456</v>
      </c>
      <c r="R69" s="327">
        <f t="shared" si="14"/>
        <v>0.004698250419097626</v>
      </c>
    </row>
    <row r="70" spans="1:18" ht="16.5" customHeight="1">
      <c r="A70" s="154">
        <v>20</v>
      </c>
      <c r="B70" s="573" t="s">
        <v>110</v>
      </c>
      <c r="C70" s="573"/>
      <c r="D70" s="157">
        <f>'Prognoza długu'!C24</f>
        <v>93858939.64</v>
      </c>
      <c r="E70" s="157">
        <f>'Prognoza długu'!D24</f>
        <v>107175456.57</v>
      </c>
      <c r="F70" s="157">
        <f>'Prognoza długu'!E24</f>
        <v>105850665</v>
      </c>
      <c r="G70" s="157">
        <f>'Prognoza długu'!F24</f>
        <v>87934218</v>
      </c>
      <c r="H70" s="341">
        <f>'Prognoza długu'!G24</f>
        <v>123691418</v>
      </c>
      <c r="I70" s="157">
        <f>'Prognoza długu'!H24</f>
        <v>160935356</v>
      </c>
      <c r="J70" s="157">
        <f>'Prognoza długu'!I24</f>
        <v>125498435</v>
      </c>
      <c r="K70" s="157">
        <f>'Prognoza długu'!J24</f>
        <v>96541133</v>
      </c>
      <c r="L70" s="157">
        <f>'Prognoza długu'!K24</f>
        <v>112608338</v>
      </c>
      <c r="M70" s="157">
        <f>'Prognoza długu'!L24</f>
        <v>99598430</v>
      </c>
      <c r="N70" s="157">
        <f>'Prognoza długu'!M24</f>
        <v>101277046</v>
      </c>
      <c r="O70" s="157">
        <f>'Prognoza długu'!N24</f>
        <v>105968553.26</v>
      </c>
      <c r="P70" s="157">
        <f>'Prognoza długu'!O24</f>
        <v>107208232.54</v>
      </c>
      <c r="Q70" s="157">
        <f>'Prognoza długu'!P24</f>
        <v>112716075.43</v>
      </c>
      <c r="R70" s="157">
        <f>'Prognoza długu'!Q24</f>
        <v>126134692.3225</v>
      </c>
    </row>
    <row r="71" spans="1:18" ht="16.5" customHeight="1">
      <c r="A71" s="154">
        <v>21</v>
      </c>
      <c r="B71" s="573" t="s">
        <v>111</v>
      </c>
      <c r="C71" s="573"/>
      <c r="D71" s="157">
        <f>'Prognoza długu'!C25</f>
        <v>55125811</v>
      </c>
      <c r="E71" s="157">
        <f>'Prognoza długu'!D25</f>
        <v>63862781</v>
      </c>
      <c r="F71" s="157">
        <f>'Prognoza długu'!E25</f>
        <v>72590083</v>
      </c>
      <c r="G71" s="157">
        <f>'Prognoza długu'!F25</f>
        <v>78155472</v>
      </c>
      <c r="H71" s="341">
        <f>'Prognoza długu'!G25</f>
        <v>90269933</v>
      </c>
      <c r="I71" s="157">
        <f>'Prognoza długu'!H25</f>
        <v>81524085</v>
      </c>
      <c r="J71" s="157">
        <f>'Prognoza długu'!I25</f>
        <v>81707174</v>
      </c>
      <c r="K71" s="157">
        <f>'Prognoza długu'!J25</f>
        <v>83001133</v>
      </c>
      <c r="L71" s="157">
        <f>'Prognoza długu'!K25</f>
        <v>83608338</v>
      </c>
      <c r="M71" s="157">
        <f>'Prognoza długu'!L25</f>
        <v>89598430</v>
      </c>
      <c r="N71" s="157">
        <f>'Prognoza długu'!M25</f>
        <v>91277046</v>
      </c>
      <c r="O71" s="157">
        <f>'Prognoza długu'!N25</f>
        <v>105968553.26</v>
      </c>
      <c r="P71" s="157">
        <f>'Prognoza długu'!O25</f>
        <v>107208232.54</v>
      </c>
      <c r="Q71" s="157">
        <f>'Prognoza długu'!P25</f>
        <v>110716075.43</v>
      </c>
      <c r="R71" s="157">
        <f>'Prognoza długu'!Q25</f>
        <v>114134692.3225</v>
      </c>
    </row>
    <row r="72" spans="1:18" ht="35.25" customHeight="1">
      <c r="A72" s="154">
        <v>22</v>
      </c>
      <c r="B72" s="573" t="s">
        <v>141</v>
      </c>
      <c r="C72" s="573"/>
      <c r="D72" s="157">
        <f>D13-D70</f>
        <v>-18662324.64</v>
      </c>
      <c r="E72" s="157">
        <f aca="true" t="shared" si="15" ref="E72:Q72">E13-E70</f>
        <v>-26258788.569999993</v>
      </c>
      <c r="F72" s="157">
        <f t="shared" si="15"/>
        <v>-24150972</v>
      </c>
      <c r="G72" s="157">
        <f t="shared" si="15"/>
        <v>-2838313</v>
      </c>
      <c r="H72" s="341">
        <f>H13-H70</f>
        <v>-9475492</v>
      </c>
      <c r="I72" s="157">
        <f t="shared" si="15"/>
        <v>6935040</v>
      </c>
      <c r="J72" s="157">
        <f t="shared" si="15"/>
        <v>7266899</v>
      </c>
      <c r="K72" s="157">
        <f t="shared" si="15"/>
        <v>7106453</v>
      </c>
      <c r="L72" s="157">
        <f t="shared" si="15"/>
        <v>6150000</v>
      </c>
      <c r="M72" s="157">
        <f t="shared" si="15"/>
        <v>6250000</v>
      </c>
      <c r="N72" s="157">
        <f t="shared" si="15"/>
        <v>6801170</v>
      </c>
      <c r="O72" s="157">
        <f t="shared" si="15"/>
        <v>5062027.739999995</v>
      </c>
      <c r="P72" s="157">
        <f t="shared" si="15"/>
        <v>3450523.4599999934</v>
      </c>
      <c r="Q72" s="157">
        <f t="shared" si="15"/>
        <v>3299999.569999993</v>
      </c>
      <c r="R72" s="157">
        <f>R13-R70</f>
        <v>4523948.677499995</v>
      </c>
    </row>
    <row r="73" spans="1:18" ht="17.25" customHeight="1">
      <c r="A73" s="150">
        <v>23</v>
      </c>
      <c r="B73" s="586" t="s">
        <v>219</v>
      </c>
      <c r="C73" s="582"/>
      <c r="D73" s="111">
        <f>SUM(D74:D78)</f>
        <v>3355000</v>
      </c>
      <c r="E73" s="111">
        <f>SUM(E74:E78)</f>
        <v>26258789</v>
      </c>
      <c r="F73" s="111">
        <f>SUM(F74:F78)</f>
        <v>24150972</v>
      </c>
      <c r="G73" s="111">
        <f>SUM(G74:G78)</f>
        <v>2838313</v>
      </c>
      <c r="H73" s="335">
        <f>SUM(H74:H78)</f>
        <v>9475492</v>
      </c>
      <c r="I73" s="157"/>
      <c r="J73" s="157"/>
      <c r="K73" s="157"/>
      <c r="L73" s="157"/>
      <c r="M73" s="157"/>
      <c r="N73" s="157"/>
      <c r="O73" s="157"/>
      <c r="P73" s="157"/>
      <c r="Q73" s="157"/>
      <c r="R73" s="157"/>
    </row>
    <row r="74" spans="1:18" ht="15" customHeight="1">
      <c r="A74" s="158" t="s">
        <v>69</v>
      </c>
      <c r="B74" s="581" t="s">
        <v>92</v>
      </c>
      <c r="C74" s="582"/>
      <c r="D74" s="96">
        <v>3355000</v>
      </c>
      <c r="E74" s="96">
        <v>7546170</v>
      </c>
      <c r="F74" s="96">
        <v>6330000</v>
      </c>
      <c r="G74" s="96"/>
      <c r="H74" s="334">
        <v>2100000</v>
      </c>
      <c r="I74" s="157"/>
      <c r="J74" s="157"/>
      <c r="K74" s="157"/>
      <c r="L74" s="157"/>
      <c r="M74" s="157"/>
      <c r="N74" s="157"/>
      <c r="O74" s="157"/>
      <c r="P74" s="157"/>
      <c r="Q74" s="157"/>
      <c r="R74" s="157"/>
    </row>
    <row r="75" spans="1:18" ht="15" customHeight="1">
      <c r="A75" s="158" t="s">
        <v>71</v>
      </c>
      <c r="B75" s="581" t="s">
        <v>93</v>
      </c>
      <c r="C75" s="582"/>
      <c r="D75" s="96"/>
      <c r="E75" s="96">
        <v>4000000</v>
      </c>
      <c r="F75" s="96">
        <v>4810000</v>
      </c>
      <c r="G75" s="96"/>
      <c r="H75" s="334"/>
      <c r="I75" s="157"/>
      <c r="J75" s="157"/>
      <c r="K75" s="157"/>
      <c r="L75" s="157"/>
      <c r="M75" s="157"/>
      <c r="N75" s="157"/>
      <c r="O75" s="157"/>
      <c r="P75" s="157"/>
      <c r="Q75" s="157"/>
      <c r="R75" s="157"/>
    </row>
    <row r="76" spans="1:18" ht="15" customHeight="1">
      <c r="A76" s="158" t="s">
        <v>79</v>
      </c>
      <c r="B76" s="581" t="s">
        <v>217</v>
      </c>
      <c r="C76" s="582"/>
      <c r="D76" s="96"/>
      <c r="E76" s="96">
        <v>2699265</v>
      </c>
      <c r="F76" s="96"/>
      <c r="G76" s="96"/>
      <c r="H76" s="334"/>
      <c r="I76" s="157"/>
      <c r="J76" s="157"/>
      <c r="K76" s="157"/>
      <c r="L76" s="157"/>
      <c r="M76" s="157"/>
      <c r="N76" s="157"/>
      <c r="O76" s="157"/>
      <c r="P76" s="157"/>
      <c r="Q76" s="157"/>
      <c r="R76" s="157"/>
    </row>
    <row r="77" spans="1:18" ht="15" customHeight="1">
      <c r="A77" s="158" t="s">
        <v>82</v>
      </c>
      <c r="B77" s="578" t="s">
        <v>101</v>
      </c>
      <c r="C77" s="582"/>
      <c r="D77" s="96"/>
      <c r="E77" s="96">
        <v>12013354</v>
      </c>
      <c r="F77" s="96"/>
      <c r="G77" s="96"/>
      <c r="H77" s="334">
        <v>375492</v>
      </c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9" ht="15" customHeight="1">
      <c r="A78" s="158" t="s">
        <v>143</v>
      </c>
      <c r="B78" s="584" t="s">
        <v>222</v>
      </c>
      <c r="C78" s="585"/>
      <c r="D78" s="96"/>
      <c r="E78" s="96"/>
      <c r="F78" s="96">
        <v>13010972</v>
      </c>
      <c r="G78" s="96">
        <v>2838313</v>
      </c>
      <c r="H78" s="334">
        <v>7000000</v>
      </c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321"/>
    </row>
    <row r="79" spans="1:19" ht="17.25" customHeight="1">
      <c r="A79" s="150">
        <v>24</v>
      </c>
      <c r="B79" s="586" t="s">
        <v>220</v>
      </c>
      <c r="C79" s="582"/>
      <c r="D79" s="111"/>
      <c r="E79" s="111"/>
      <c r="F79" s="111"/>
      <c r="G79" s="111"/>
      <c r="H79" s="335"/>
      <c r="I79" s="157">
        <f>SUM(I80:I82)</f>
        <v>6935040</v>
      </c>
      <c r="J79" s="157">
        <f aca="true" t="shared" si="16" ref="J79:R79">SUM(J80:J82)</f>
        <v>7266899</v>
      </c>
      <c r="K79" s="157">
        <f t="shared" si="16"/>
        <v>7106453</v>
      </c>
      <c r="L79" s="157">
        <f t="shared" si="16"/>
        <v>6150000</v>
      </c>
      <c r="M79" s="157">
        <f t="shared" si="16"/>
        <v>6250000</v>
      </c>
      <c r="N79" s="157">
        <f t="shared" si="16"/>
        <v>6801170</v>
      </c>
      <c r="O79" s="157">
        <f t="shared" si="16"/>
        <v>5062028</v>
      </c>
      <c r="P79" s="157">
        <f t="shared" si="16"/>
        <v>3450523</v>
      </c>
      <c r="Q79" s="157">
        <f t="shared" si="16"/>
        <v>3300000</v>
      </c>
      <c r="R79" s="157">
        <f t="shared" si="16"/>
        <v>4523949</v>
      </c>
      <c r="S79" s="322"/>
    </row>
    <row r="80" spans="1:19" ht="15" customHeight="1">
      <c r="A80" s="159" t="s">
        <v>69</v>
      </c>
      <c r="B80" s="581" t="s">
        <v>216</v>
      </c>
      <c r="C80" s="582"/>
      <c r="D80" s="120"/>
      <c r="E80" s="97"/>
      <c r="F80" s="97"/>
      <c r="G80" s="160"/>
      <c r="H80" s="334"/>
      <c r="I80" s="161">
        <f aca="true" t="shared" si="17" ref="I80:J82">I30</f>
        <v>3535040</v>
      </c>
      <c r="J80" s="161">
        <f t="shared" si="17"/>
        <v>3666899</v>
      </c>
      <c r="K80" s="161">
        <f aca="true" t="shared" si="18" ref="K80:R80">K30</f>
        <v>3506453</v>
      </c>
      <c r="L80" s="161">
        <f t="shared" si="18"/>
        <v>2550000</v>
      </c>
      <c r="M80" s="161">
        <f t="shared" si="18"/>
        <v>2550000</v>
      </c>
      <c r="N80" s="161">
        <f t="shared" si="18"/>
        <v>2401170</v>
      </c>
      <c r="O80" s="161">
        <f t="shared" si="18"/>
        <v>62028</v>
      </c>
      <c r="P80" s="161">
        <f t="shared" si="18"/>
        <v>750523</v>
      </c>
      <c r="Q80" s="161">
        <f t="shared" si="18"/>
        <v>600000</v>
      </c>
      <c r="R80" s="161">
        <f t="shared" si="18"/>
        <v>423949</v>
      </c>
      <c r="S80" s="321"/>
    </row>
    <row r="81" spans="1:18" ht="15" customHeight="1">
      <c r="A81" s="159" t="s">
        <v>71</v>
      </c>
      <c r="B81" s="581" t="s">
        <v>221</v>
      </c>
      <c r="C81" s="582"/>
      <c r="D81" s="120"/>
      <c r="E81" s="97"/>
      <c r="F81" s="97"/>
      <c r="G81" s="160"/>
      <c r="H81" s="334"/>
      <c r="I81" s="161">
        <f t="shared" si="17"/>
        <v>400000</v>
      </c>
      <c r="J81" s="161">
        <f t="shared" si="17"/>
        <v>600000</v>
      </c>
      <c r="K81" s="161">
        <f aca="true" t="shared" si="19" ref="K81:R81">K31</f>
        <v>600000</v>
      </c>
      <c r="L81" s="161">
        <f t="shared" si="19"/>
        <v>600000</v>
      </c>
      <c r="M81" s="161">
        <f t="shared" si="19"/>
        <v>700000</v>
      </c>
      <c r="N81" s="161">
        <f t="shared" si="19"/>
        <v>1400000</v>
      </c>
      <c r="O81" s="161">
        <f t="shared" si="19"/>
        <v>0</v>
      </c>
      <c r="P81" s="161">
        <f t="shared" si="19"/>
        <v>0</v>
      </c>
      <c r="Q81" s="161">
        <f t="shared" si="19"/>
        <v>0</v>
      </c>
      <c r="R81" s="161">
        <f t="shared" si="19"/>
        <v>0</v>
      </c>
    </row>
    <row r="82" spans="1:18" ht="15" customHeight="1">
      <c r="A82" s="159" t="s">
        <v>79</v>
      </c>
      <c r="B82" s="581" t="s">
        <v>94</v>
      </c>
      <c r="C82" s="582"/>
      <c r="D82" s="120"/>
      <c r="E82" s="97"/>
      <c r="F82" s="97"/>
      <c r="G82" s="160"/>
      <c r="H82" s="334"/>
      <c r="I82" s="161">
        <f t="shared" si="17"/>
        <v>3000000</v>
      </c>
      <c r="J82" s="161">
        <f t="shared" si="17"/>
        <v>3000000</v>
      </c>
      <c r="K82" s="161">
        <f aca="true" t="shared" si="20" ref="K82:R82">K32</f>
        <v>3000000</v>
      </c>
      <c r="L82" s="161">
        <f t="shared" si="20"/>
        <v>3000000</v>
      </c>
      <c r="M82" s="161">
        <f t="shared" si="20"/>
        <v>3000000</v>
      </c>
      <c r="N82" s="161">
        <f t="shared" si="20"/>
        <v>3000000</v>
      </c>
      <c r="O82" s="161">
        <f t="shared" si="20"/>
        <v>5000000</v>
      </c>
      <c r="P82" s="161">
        <f t="shared" si="20"/>
        <v>2700000</v>
      </c>
      <c r="Q82" s="161">
        <f t="shared" si="20"/>
        <v>2700000</v>
      </c>
      <c r="R82" s="161">
        <f t="shared" si="20"/>
        <v>4100000</v>
      </c>
    </row>
    <row r="83" spans="1:18" ht="19.5" customHeight="1">
      <c r="A83" s="154">
        <v>25</v>
      </c>
      <c r="B83" s="573" t="s">
        <v>112</v>
      </c>
      <c r="C83" s="573"/>
      <c r="D83" s="157">
        <f>'Prognoza długu'!C46</f>
        <v>39684305</v>
      </c>
      <c r="E83" s="157">
        <f>'Prognoza długu'!D46</f>
        <v>31400550</v>
      </c>
      <c r="F83" s="157">
        <f>'Prognoza długu'!E46</f>
        <v>28859761</v>
      </c>
      <c r="G83" s="157">
        <f>'Prognoza długu'!F46</f>
        <v>10245475</v>
      </c>
      <c r="H83" s="341">
        <f>'Prognoza długu'!G46</f>
        <v>14027077</v>
      </c>
      <c r="I83" s="157">
        <f aca="true" t="shared" si="21" ref="I83:R83">I53</f>
        <v>0</v>
      </c>
      <c r="J83" s="157">
        <f t="shared" si="21"/>
        <v>0</v>
      </c>
      <c r="K83" s="157">
        <f t="shared" si="21"/>
        <v>0</v>
      </c>
      <c r="L83" s="157">
        <f t="shared" si="21"/>
        <v>0</v>
      </c>
      <c r="M83" s="157">
        <f t="shared" si="21"/>
        <v>0</v>
      </c>
      <c r="N83" s="157">
        <f t="shared" si="21"/>
        <v>0</v>
      </c>
      <c r="O83" s="157">
        <f t="shared" si="21"/>
        <v>0</v>
      </c>
      <c r="P83" s="157">
        <f t="shared" si="21"/>
        <v>0</v>
      </c>
      <c r="Q83" s="157">
        <f t="shared" si="21"/>
        <v>0</v>
      </c>
      <c r="R83" s="157">
        <f t="shared" si="21"/>
        <v>0</v>
      </c>
    </row>
    <row r="84" spans="1:18" ht="19.5" customHeight="1">
      <c r="A84" s="162">
        <v>26</v>
      </c>
      <c r="B84" s="583" t="s">
        <v>113</v>
      </c>
      <c r="C84" s="583"/>
      <c r="D84" s="163">
        <f>D29</f>
        <v>1167600</v>
      </c>
      <c r="E84" s="163">
        <f aca="true" t="shared" si="22" ref="E84:Q84">E29</f>
        <v>1422000</v>
      </c>
      <c r="F84" s="163">
        <f t="shared" si="22"/>
        <v>3463314</v>
      </c>
      <c r="G84" s="332">
        <f t="shared" si="22"/>
        <v>6940085</v>
      </c>
      <c r="H84" s="342">
        <f t="shared" si="22"/>
        <v>4551585</v>
      </c>
      <c r="I84" s="163">
        <f>I29</f>
        <v>6935040</v>
      </c>
      <c r="J84" s="163">
        <f t="shared" si="22"/>
        <v>7266899</v>
      </c>
      <c r="K84" s="163">
        <f t="shared" si="22"/>
        <v>7106453</v>
      </c>
      <c r="L84" s="163">
        <f t="shared" si="22"/>
        <v>6150000</v>
      </c>
      <c r="M84" s="163">
        <f t="shared" si="22"/>
        <v>6250000</v>
      </c>
      <c r="N84" s="163">
        <f t="shared" si="22"/>
        <v>6801170</v>
      </c>
      <c r="O84" s="163">
        <f t="shared" si="22"/>
        <v>5062028</v>
      </c>
      <c r="P84" s="163">
        <f t="shared" si="22"/>
        <v>3450523</v>
      </c>
      <c r="Q84" s="163">
        <f t="shared" si="22"/>
        <v>3300000</v>
      </c>
      <c r="R84" s="163">
        <f>R29</f>
        <v>4523949</v>
      </c>
    </row>
    <row r="85" spans="1:18" ht="15.75">
      <c r="A85" s="164"/>
      <c r="B85" s="165"/>
      <c r="C85" s="166"/>
      <c r="D85" s="167"/>
      <c r="E85" s="168"/>
      <c r="F85" s="168"/>
      <c r="G85" s="167"/>
      <c r="H85" s="168"/>
      <c r="I85" s="168"/>
      <c r="J85" s="169"/>
      <c r="K85" s="169"/>
      <c r="L85" s="169"/>
      <c r="M85" s="169"/>
      <c r="N85" s="169"/>
      <c r="O85" s="169"/>
      <c r="P85" s="169"/>
      <c r="Q85" s="169"/>
      <c r="R85" s="169"/>
    </row>
    <row r="86" spans="1:18" ht="12.75">
      <c r="A86" s="89"/>
      <c r="B86" s="89"/>
      <c r="C86" s="86"/>
      <c r="D86" s="87"/>
      <c r="E86" s="88"/>
      <c r="F86" s="88"/>
      <c r="G86" s="87"/>
      <c r="H86" s="88"/>
      <c r="I86" s="88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89"/>
      <c r="B87" s="89"/>
      <c r="C87" s="86"/>
      <c r="D87" s="87"/>
      <c r="E87" s="88"/>
      <c r="F87" s="88"/>
      <c r="G87" s="87"/>
      <c r="H87" s="88"/>
      <c r="I87" s="88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89"/>
      <c r="B88" s="89"/>
      <c r="C88" s="86"/>
      <c r="D88" s="87"/>
      <c r="E88" s="88"/>
      <c r="F88" s="88"/>
      <c r="G88" s="87"/>
      <c r="H88" s="88"/>
      <c r="I88" s="88"/>
      <c r="J88" s="89"/>
      <c r="K88" s="89"/>
      <c r="L88" s="89"/>
      <c r="M88" s="89"/>
      <c r="N88" s="89"/>
      <c r="O88" s="89"/>
      <c r="P88" s="89"/>
      <c r="Q88" s="89"/>
      <c r="R88" s="89"/>
    </row>
    <row r="89" spans="4:9" ht="12.75">
      <c r="D89" s="35"/>
      <c r="E89" s="14"/>
      <c r="F89" s="14"/>
      <c r="G89" s="35"/>
      <c r="H89" s="14"/>
      <c r="I89" s="14"/>
    </row>
  </sheetData>
  <sheetProtection/>
  <mergeCells count="86">
    <mergeCell ref="A6:O8"/>
    <mergeCell ref="D50:G50"/>
    <mergeCell ref="G51:G52"/>
    <mergeCell ref="B73:C73"/>
    <mergeCell ref="B74:C74"/>
    <mergeCell ref="B29:C29"/>
    <mergeCell ref="B30:B32"/>
    <mergeCell ref="B33:C33"/>
    <mergeCell ref="B14:C14"/>
    <mergeCell ref="B13:C13"/>
    <mergeCell ref="B23:C23"/>
    <mergeCell ref="B24:C24"/>
    <mergeCell ref="B26:C26"/>
    <mergeCell ref="B27:C27"/>
    <mergeCell ref="B28:C28"/>
    <mergeCell ref="A62:A63"/>
    <mergeCell ref="B62:B63"/>
    <mergeCell ref="B53:C53"/>
    <mergeCell ref="B60:C60"/>
    <mergeCell ref="A49:A52"/>
    <mergeCell ref="N51:N52"/>
    <mergeCell ref="E51:E52"/>
    <mergeCell ref="F51:F52"/>
    <mergeCell ref="H51:H52"/>
    <mergeCell ref="I51:I52"/>
    <mergeCell ref="K51:K52"/>
    <mergeCell ref="D49:R49"/>
    <mergeCell ref="H50:R50"/>
    <mergeCell ref="D51:D52"/>
    <mergeCell ref="R51:R52"/>
    <mergeCell ref="P51:P52"/>
    <mergeCell ref="Q51:Q52"/>
    <mergeCell ref="J51:J52"/>
    <mergeCell ref="L51:L52"/>
    <mergeCell ref="O51:O52"/>
    <mergeCell ref="M51:M52"/>
    <mergeCell ref="B71:C71"/>
    <mergeCell ref="B72:C72"/>
    <mergeCell ref="B83:C83"/>
    <mergeCell ref="B84:C84"/>
    <mergeCell ref="B69:C69"/>
    <mergeCell ref="B75:C75"/>
    <mergeCell ref="B76:C76"/>
    <mergeCell ref="B77:C77"/>
    <mergeCell ref="B78:C78"/>
    <mergeCell ref="B79:C79"/>
    <mergeCell ref="B80:C80"/>
    <mergeCell ref="B81:C81"/>
    <mergeCell ref="B82:C82"/>
    <mergeCell ref="Q11:Q12"/>
    <mergeCell ref="P11:P12"/>
    <mergeCell ref="O11:O12"/>
    <mergeCell ref="N11:N12"/>
    <mergeCell ref="B70:C70"/>
    <mergeCell ref="B64:C64"/>
    <mergeCell ref="B65:C65"/>
    <mergeCell ref="B66:C66"/>
    <mergeCell ref="B67:C67"/>
    <mergeCell ref="B68:C68"/>
    <mergeCell ref="B35:C35"/>
    <mergeCell ref="B36:C36"/>
    <mergeCell ref="B61:C61"/>
    <mergeCell ref="B54:B57"/>
    <mergeCell ref="B58:C58"/>
    <mergeCell ref="B59:C59"/>
    <mergeCell ref="B49:C52"/>
    <mergeCell ref="B34:C34"/>
    <mergeCell ref="B15:C15"/>
    <mergeCell ref="B17:C17"/>
    <mergeCell ref="B18:B22"/>
    <mergeCell ref="D9:R9"/>
    <mergeCell ref="B9:C12"/>
    <mergeCell ref="K11:K12"/>
    <mergeCell ref="J11:J12"/>
    <mergeCell ref="I11:I12"/>
    <mergeCell ref="R11:R12"/>
    <mergeCell ref="A9:A12"/>
    <mergeCell ref="G11:G12"/>
    <mergeCell ref="H11:H12"/>
    <mergeCell ref="F11:F12"/>
    <mergeCell ref="E11:E12"/>
    <mergeCell ref="D11:D12"/>
    <mergeCell ref="H10:R10"/>
    <mergeCell ref="D10:G10"/>
    <mergeCell ref="M11:M12"/>
    <mergeCell ref="L11:L12"/>
  </mergeCells>
  <printOptions horizontalCentered="1" verticalCentered="1"/>
  <pageMargins left="0.25" right="0.19652777777777777" top="0.4722222222222222" bottom="0.4722222222222222" header="0.5118055555555555" footer="0.5118055555555555"/>
  <pageSetup fitToHeight="2" fitToWidth="1" horizontalDpi="600" verticalDpi="600" orientation="landscape" paperSize="9" scale="5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8"/>
  <sheetViews>
    <sheetView zoomScale="90" zoomScaleNormal="90" zoomScalePageLayoutView="0" workbookViewId="0" topLeftCell="A1">
      <selection activeCell="A1" sqref="A1:Q56"/>
    </sheetView>
  </sheetViews>
  <sheetFormatPr defaultColWidth="11.57421875" defaultRowHeight="12.75"/>
  <cols>
    <col min="1" max="1" width="3.7109375" style="0" customWidth="1"/>
    <col min="2" max="2" width="39.8515625" style="0" customWidth="1"/>
    <col min="3" max="3" width="12.7109375" style="0" customWidth="1"/>
    <col min="4" max="5" width="11.7109375" style="0" customWidth="1"/>
    <col min="6" max="6" width="12.7109375" style="0" customWidth="1"/>
    <col min="7" max="7" width="11.7109375" style="0" customWidth="1"/>
    <col min="8" max="8" width="12.7109375" style="0" customWidth="1"/>
    <col min="9" max="9" width="12.28125" style="0" customWidth="1"/>
    <col min="10" max="10" width="11.8515625" style="0" customWidth="1"/>
    <col min="11" max="11" width="12.28125" style="0" customWidth="1"/>
    <col min="12" max="12" width="12.8515625" style="0" customWidth="1"/>
    <col min="13" max="13" width="11.7109375" style="0" customWidth="1"/>
    <col min="14" max="14" width="11.8515625" style="0" customWidth="1"/>
    <col min="15" max="15" width="12.421875" style="0" customWidth="1"/>
    <col min="16" max="16" width="12.28125" style="0" customWidth="1"/>
    <col min="17" max="17" width="12.421875" style="0" customWidth="1"/>
  </cols>
  <sheetData>
    <row r="1" spans="1:17" ht="17.25" customHeigh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65" t="s">
        <v>114</v>
      </c>
      <c r="N1" s="65"/>
      <c r="O1" s="173"/>
      <c r="P1" s="173"/>
      <c r="Q1" s="173"/>
    </row>
    <row r="2" spans="1:17" ht="2.25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70"/>
      <c r="N2" s="71"/>
      <c r="O2" s="173"/>
      <c r="P2" s="173"/>
      <c r="Q2" s="173"/>
    </row>
    <row r="3" spans="1:17" ht="17.25" customHeight="1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75" t="s">
        <v>247</v>
      </c>
      <c r="N3" s="71"/>
      <c r="O3" s="173"/>
      <c r="P3" s="173"/>
      <c r="Q3" s="173"/>
    </row>
    <row r="4" spans="1:17" ht="17.25" customHeight="1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75" t="s">
        <v>49</v>
      </c>
      <c r="N4" s="71"/>
      <c r="O4" s="173"/>
      <c r="P4" s="173"/>
      <c r="Q4" s="173"/>
    </row>
    <row r="5" spans="1:17" ht="17.25" customHeight="1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75" t="s">
        <v>271</v>
      </c>
      <c r="N5" s="71"/>
      <c r="O5" s="173"/>
      <c r="P5" s="173"/>
      <c r="Q5" s="173"/>
    </row>
    <row r="6" spans="1:17" ht="39.75" customHeight="1">
      <c r="A6" s="606" t="s">
        <v>227</v>
      </c>
      <c r="B6" s="606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</row>
    <row r="7" spans="1:17" ht="17.25" customHeight="1">
      <c r="A7" s="599" t="s">
        <v>115</v>
      </c>
      <c r="B7" s="600" t="s">
        <v>64</v>
      </c>
      <c r="C7" s="601" t="s">
        <v>65</v>
      </c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</row>
    <row r="8" spans="1:17" ht="17.25" customHeight="1">
      <c r="A8" s="599"/>
      <c r="B8" s="600"/>
      <c r="C8" s="602" t="s">
        <v>66</v>
      </c>
      <c r="D8" s="603"/>
      <c r="E8" s="603"/>
      <c r="F8" s="604"/>
      <c r="G8" s="605" t="s">
        <v>116</v>
      </c>
      <c r="H8" s="605"/>
      <c r="I8" s="605"/>
      <c r="J8" s="605"/>
      <c r="K8" s="605"/>
      <c r="L8" s="605"/>
      <c r="M8" s="605"/>
      <c r="N8" s="605"/>
      <c r="O8" s="605"/>
      <c r="P8" s="605"/>
      <c r="Q8" s="605"/>
    </row>
    <row r="9" spans="1:17" ht="17.25" customHeight="1">
      <c r="A9" s="599"/>
      <c r="B9" s="600"/>
      <c r="C9" s="174">
        <v>2007</v>
      </c>
      <c r="D9" s="174">
        <v>2008</v>
      </c>
      <c r="E9" s="174">
        <v>2009</v>
      </c>
      <c r="F9" s="175">
        <v>2010</v>
      </c>
      <c r="G9" s="174">
        <v>2011</v>
      </c>
      <c r="H9" s="174">
        <v>2012</v>
      </c>
      <c r="I9" s="174">
        <v>2013</v>
      </c>
      <c r="J9" s="174">
        <v>2014</v>
      </c>
      <c r="K9" s="174">
        <v>2015</v>
      </c>
      <c r="L9" s="174">
        <v>2016</v>
      </c>
      <c r="M9" s="174">
        <v>2017</v>
      </c>
      <c r="N9" s="174">
        <v>2018</v>
      </c>
      <c r="O9" s="174">
        <v>2019</v>
      </c>
      <c r="P9" s="174">
        <v>2020</v>
      </c>
      <c r="Q9" s="176">
        <v>2021</v>
      </c>
    </row>
    <row r="10" spans="1:17" ht="20.25" customHeight="1">
      <c r="A10" s="177">
        <v>1</v>
      </c>
      <c r="B10" s="178" t="s">
        <v>117</v>
      </c>
      <c r="C10" s="179">
        <v>15733115</v>
      </c>
      <c r="D10" s="179">
        <v>24061046</v>
      </c>
      <c r="E10" s="179">
        <v>45737732</v>
      </c>
      <c r="F10" s="179">
        <f>E10+WPF!G53-WPF!G29</f>
        <v>47797647</v>
      </c>
      <c r="G10" s="343">
        <f>F10+WPF!H53-WPF!H29</f>
        <v>56846062</v>
      </c>
      <c r="H10" s="179">
        <f>G10+WPF!I53-WPF!I29</f>
        <v>49911022</v>
      </c>
      <c r="I10" s="179">
        <f>H10+WPF!J53-WPF!J29</f>
        <v>42644123</v>
      </c>
      <c r="J10" s="179">
        <f>I10+WPF!K53-WPF!K29</f>
        <v>35537670</v>
      </c>
      <c r="K10" s="179">
        <f>J10+WPF!L53-WPF!L29</f>
        <v>29387670</v>
      </c>
      <c r="L10" s="179">
        <f>K10+WPF!M53-WPF!M29</f>
        <v>23137670</v>
      </c>
      <c r="M10" s="179">
        <f>L10+WPF!N53-WPF!N29</f>
        <v>16336500</v>
      </c>
      <c r="N10" s="179">
        <f>M10+WPF!O53-WPF!O29</f>
        <v>11274472</v>
      </c>
      <c r="O10" s="179">
        <f>N10+WPF!P53-WPF!P29</f>
        <v>7823949</v>
      </c>
      <c r="P10" s="179">
        <f>O10+WPF!Q53-WPF!Q29</f>
        <v>4523949</v>
      </c>
      <c r="Q10" s="180"/>
    </row>
    <row r="11" spans="1:17" ht="33.75" customHeight="1">
      <c r="A11" s="181" t="s">
        <v>69</v>
      </c>
      <c r="B11" s="56" t="s">
        <v>118</v>
      </c>
      <c r="C11" s="53">
        <v>0</v>
      </c>
      <c r="D11" s="53">
        <v>0</v>
      </c>
      <c r="E11" s="53">
        <v>0</v>
      </c>
      <c r="F11" s="53">
        <v>0</v>
      </c>
      <c r="G11" s="344">
        <v>2100000</v>
      </c>
      <c r="H11" s="53">
        <v>2050000</v>
      </c>
      <c r="I11" s="53">
        <v>2000000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5">
        <v>0</v>
      </c>
    </row>
    <row r="12" spans="1:20" ht="42" customHeight="1">
      <c r="A12" s="181" t="s">
        <v>71</v>
      </c>
      <c r="B12" s="56" t="s">
        <v>242</v>
      </c>
      <c r="C12" s="53">
        <v>0</v>
      </c>
      <c r="D12" s="53">
        <v>0</v>
      </c>
      <c r="E12" s="53">
        <v>0</v>
      </c>
      <c r="F12" s="53">
        <v>0</v>
      </c>
      <c r="G12" s="344">
        <v>0</v>
      </c>
      <c r="H12" s="53">
        <v>50000</v>
      </c>
      <c r="I12" s="53">
        <v>50000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5">
        <v>0</v>
      </c>
      <c r="T12" s="36"/>
    </row>
    <row r="13" spans="1:17" ht="55.5" customHeight="1">
      <c r="A13" s="181" t="s">
        <v>119</v>
      </c>
      <c r="B13" s="56" t="s">
        <v>120</v>
      </c>
      <c r="C13" s="53">
        <v>0</v>
      </c>
      <c r="D13" s="53">
        <v>0</v>
      </c>
      <c r="E13" s="53">
        <v>0</v>
      </c>
      <c r="F13" s="53">
        <v>0</v>
      </c>
      <c r="G13" s="344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5">
        <v>0</v>
      </c>
    </row>
    <row r="14" spans="1:17" ht="24" customHeight="1">
      <c r="A14" s="181" t="s">
        <v>121</v>
      </c>
      <c r="B14" s="56" t="s">
        <v>122</v>
      </c>
      <c r="C14" s="53">
        <f>WPF!D29</f>
        <v>1167600</v>
      </c>
      <c r="D14" s="53">
        <f>WPF!E29</f>
        <v>1422000</v>
      </c>
      <c r="E14" s="53">
        <f>WPF!F29</f>
        <v>3463314</v>
      </c>
      <c r="F14" s="53">
        <f>WPF!G29</f>
        <v>6940085</v>
      </c>
      <c r="G14" s="344">
        <f>WPF!H29</f>
        <v>4551585</v>
      </c>
      <c r="H14" s="53">
        <f>WPF!I29</f>
        <v>6935040</v>
      </c>
      <c r="I14" s="53">
        <f>WPF!J29</f>
        <v>7266899</v>
      </c>
      <c r="J14" s="53">
        <f>WPF!K29</f>
        <v>7106453</v>
      </c>
      <c r="K14" s="53">
        <f>WPF!L29</f>
        <v>6150000</v>
      </c>
      <c r="L14" s="53">
        <f>WPF!M29</f>
        <v>6250000</v>
      </c>
      <c r="M14" s="53">
        <f>WPF!N29</f>
        <v>6801170</v>
      </c>
      <c r="N14" s="53">
        <f>WPF!O29</f>
        <v>5062028</v>
      </c>
      <c r="O14" s="53">
        <f>WPF!P29</f>
        <v>3450523</v>
      </c>
      <c r="P14" s="53">
        <f>WPF!Q29</f>
        <v>3300000</v>
      </c>
      <c r="Q14" s="55">
        <f>WPF!R29</f>
        <v>4523949</v>
      </c>
    </row>
    <row r="15" spans="1:17" ht="24" customHeight="1">
      <c r="A15" s="182" t="s">
        <v>123</v>
      </c>
      <c r="B15" s="183" t="s">
        <v>124</v>
      </c>
      <c r="C15" s="184"/>
      <c r="D15" s="184"/>
      <c r="E15" s="184"/>
      <c r="F15" s="185">
        <f>1/3*((WPF!D14+WPF!D16-'Prognoza długu'!C25)/WPF!D13+(WPF!E14+WPF!E16-'Prognoza długu'!D25)/WPF!E13+(WPF!F14+WPF!F16-'Prognoza długu'!E25)/WPF!F13)</f>
        <v>0.1910646731760649</v>
      </c>
      <c r="G15" s="345">
        <f>1/3*((WPF!E14+WPF!E16-'Prognoza długu'!D25)/WPF!E13+(WPF!F14+WPF!F16-'Prognoza długu'!E25)/WPF!F13+(WPF!G14+WPF!G16-'Prognoza długu'!F25)/WPF!G13)</f>
        <v>0.1291721492426357</v>
      </c>
      <c r="H15" s="185">
        <f>1/3*((WPF!F14+WPF!F16-'Prognoza długu'!E25)/WPF!F13+(WPF!G14+WPF!G16-'Prognoza długu'!F25)/WPF!G13+(WPF!H14+WPF!H16-'Prognoza długu'!G25)/WPF!H13)</f>
        <v>0.12228231135639478</v>
      </c>
      <c r="I15" s="185">
        <f>1/3*((WPF!G14+WPF!G16-'Prognoza długu'!F25)/WPF!G13+(WPF!H14+WPF!H16-'Prognoza długu'!G25)/WPF!H13+(WPF!I14+WPF!I16-'Prognoza długu'!H25)/WPF!I13)</f>
        <v>0.16943908445485056</v>
      </c>
      <c r="J15" s="185">
        <f>1/3*((WPF!H14+WPF!H16-'Prognoza długu'!G25)/WPF!H13+(WPF!I14+WPF!I16-'Prognoza długu'!H25)/WPF!I13+(WPF!J14+WPF!J16-'Prognoza długu'!I25)/WPF!J13)</f>
        <v>0.23607895395230094</v>
      </c>
      <c r="K15" s="185">
        <f>1/3*((WPF!I14+WPF!I16-'Prognoza długu'!H25)/WPF!I13+(WPF!J14+WPF!J16-'Prognoza długu'!I25)/WPF!J13+(WPF!K14+WPF!K16-'Prognoza długu'!J25)/WPF!K13)</f>
        <v>0.23917682148860692</v>
      </c>
      <c r="L15" s="185">
        <f>1/3*((WPF!J14+WPF!J16-'Prognoza długu'!I25)/WPF!J13+(WPF!K14+WPF!K16-'Prognoza długu'!J25)/WPF!K13+(WPF!L14+WPF!L16-'Prognoza długu'!K25)/WPF!L13)</f>
        <v>0.23166588990485473</v>
      </c>
      <c r="M15" s="185">
        <f>1/3*((WPF!K14+WPF!K16-'Prognoza długu'!J25)/WPF!K13+(WPF!L14+WPF!L16-'Prognoza długu'!K25)/WPF!L13+(WPF!M14+WPF!M16-'Prognoza długu'!L25)/WPF!M13)</f>
        <v>0.19097168780487553</v>
      </c>
      <c r="N15" s="185">
        <f>1/3*((WPF!L14+WPF!L16-'Prognoza długu'!K25)/WPF!L13+(WPF!M14+WPF!M16-'Prognoza długu'!L25)/WPF!M13+(WPF!N14+WPF!N16-'Prognoza długu'!M25)/WPF!N13)</f>
        <v>0.17639009302935285</v>
      </c>
      <c r="O15" s="185">
        <f>1/3*((WPF!M14+WPF!M16-'Prognoza długu'!L25)/WPF!M13+(WPF!N14+WPF!N16-'Prognoza długu'!M25)/WPF!N13+(WPF!O14+WPF!O16-'Prognoza długu'!N25)/WPF!O13)</f>
        <v>0.11818883553926332</v>
      </c>
      <c r="P15" s="185">
        <f>1/3*((WPF!N14+WPF!N16-'Prognoza długu'!M25)/WPF!N13+(WPF!O14+WPF!O16-'Prognoza długu'!N25)/WPF!O13+(WPF!P14+WPF!P16-'Prognoza długu'!O25)/WPF!P13)</f>
        <v>0.07740891882519615</v>
      </c>
      <c r="Q15" s="186">
        <f>1/3*((WPF!O14+WPF!O16-'Prognoza długu'!N25)/WPF!O13+(WPF!P14+WPF!P16-'Prognoza długu'!O25)/WPF!P13+(WPF!Q14+WPF!Q16-'Prognoza długu'!P25)/WPF!Q13)</f>
        <v>0.04081875715619127</v>
      </c>
    </row>
    <row r="16" spans="1:17" ht="30.75" customHeight="1">
      <c r="A16" s="182" t="s">
        <v>125</v>
      </c>
      <c r="B16" s="183" t="s">
        <v>126</v>
      </c>
      <c r="C16" s="184" t="s">
        <v>84</v>
      </c>
      <c r="D16" s="184" t="s">
        <v>84</v>
      </c>
      <c r="E16" s="184" t="s">
        <v>84</v>
      </c>
      <c r="F16" s="185">
        <f>(WPF!G33+WPF!G29)/WPF!G13</f>
        <v>0.10653694792951553</v>
      </c>
      <c r="G16" s="345">
        <f>(WPF!H33+WPF!H29)/WPF!H13</f>
        <v>0.06026796122985511</v>
      </c>
      <c r="H16" s="185">
        <f>(WPF!I33+WPF!I29)/WPF!I13</f>
        <v>0.05500034681517044</v>
      </c>
      <c r="I16" s="185">
        <f>(WPF!J33+WPF!J29)/WPF!J13</f>
        <v>0.07497320799117638</v>
      </c>
      <c r="J16" s="185">
        <f>(WPF!K33+WPF!K29)/WPF!K13</f>
        <v>0.09046861930773767</v>
      </c>
      <c r="K16" s="185">
        <f>(WPF!L33+WPF!L29)/WPF!L13</f>
        <v>0.06852576532352617</v>
      </c>
      <c r="L16" s="185">
        <f>(WPF!M33+WPF!M29)/WPF!M13</f>
        <v>0.07519720415314615</v>
      </c>
      <c r="M16" s="185">
        <f>(WPF!N33+WPF!N29)/WPF!N13</f>
        <v>0.07615654018567442</v>
      </c>
      <c r="N16" s="185">
        <f>(WPF!O33+WPF!O29)/WPF!O13</f>
        <v>0.05513219155360449</v>
      </c>
      <c r="O16" s="185">
        <f>(WPF!P33+WPF!P29)/WPF!P13</f>
        <v>0.03764544886082038</v>
      </c>
      <c r="P16" s="185">
        <f>(WPF!Q33+WPF!Q29)/WPF!Q13</f>
        <v>0.0325390376290527</v>
      </c>
      <c r="Q16" s="186">
        <f>(WPF!R33+WPF!R29)/WPF!R13</f>
        <v>0.03612050673709365</v>
      </c>
    </row>
    <row r="17" spans="1:17" ht="35.25" customHeight="1">
      <c r="A17" s="182" t="s">
        <v>127</v>
      </c>
      <c r="B17" s="187" t="s">
        <v>128</v>
      </c>
      <c r="C17" s="188"/>
      <c r="D17" s="184"/>
      <c r="E17" s="184"/>
      <c r="F17" s="185">
        <f>F15-F16</f>
        <v>0.08452772524654938</v>
      </c>
      <c r="G17" s="345">
        <f aca="true" t="shared" si="0" ref="G17:Q17">G15-G16</f>
        <v>0.06890418801278059</v>
      </c>
      <c r="H17" s="185">
        <f t="shared" si="0"/>
        <v>0.06728196454122434</v>
      </c>
      <c r="I17" s="185">
        <f t="shared" si="0"/>
        <v>0.09446587646367419</v>
      </c>
      <c r="J17" s="185">
        <f t="shared" si="0"/>
        <v>0.14561033464456327</v>
      </c>
      <c r="K17" s="185">
        <f t="shared" si="0"/>
        <v>0.17065105616508075</v>
      </c>
      <c r="L17" s="185">
        <f t="shared" si="0"/>
        <v>0.15646868575170858</v>
      </c>
      <c r="M17" s="185">
        <f t="shared" si="0"/>
        <v>0.11481514761920111</v>
      </c>
      <c r="N17" s="185">
        <f t="shared" si="0"/>
        <v>0.12125790147574836</v>
      </c>
      <c r="O17" s="185">
        <f t="shared" si="0"/>
        <v>0.08054338667844294</v>
      </c>
      <c r="P17" s="185">
        <f t="shared" si="0"/>
        <v>0.044869881196143456</v>
      </c>
      <c r="Q17" s="186">
        <f t="shared" si="0"/>
        <v>0.004698250419097626</v>
      </c>
    </row>
    <row r="18" spans="1:17" ht="30" customHeight="1">
      <c r="A18" s="181" t="s">
        <v>129</v>
      </c>
      <c r="B18" s="56" t="s">
        <v>130</v>
      </c>
      <c r="C18" s="189">
        <f>WPF!D28/WPF!D13%</f>
        <v>1.959634752176012</v>
      </c>
      <c r="D18" s="189">
        <f>WPF!E28/WPF!E13%</f>
        <v>2.3282594878968568</v>
      </c>
      <c r="E18" s="189">
        <f>WPF!F28/WPF!F13%</f>
        <v>5.510659630018438</v>
      </c>
      <c r="F18" s="189">
        <f>WPF!G28/WPF!G13%</f>
        <v>10.653694792951551</v>
      </c>
      <c r="G18" s="346">
        <f>WPF!H28/WPF!H13%</f>
        <v>6.026796122985511</v>
      </c>
      <c r="H18" s="189">
        <f>WPF!I28/WPF!I13%</f>
        <v>5.500034681517044</v>
      </c>
      <c r="I18" s="189">
        <f>WPF!J28/WPF!J13%</f>
        <v>7.497320799117636</v>
      </c>
      <c r="J18" s="189"/>
      <c r="K18" s="189"/>
      <c r="L18" s="189"/>
      <c r="M18" s="189"/>
      <c r="N18" s="189"/>
      <c r="O18" s="189"/>
      <c r="P18" s="189"/>
      <c r="Q18" s="190"/>
    </row>
    <row r="19" spans="1:17" ht="29.25" customHeight="1">
      <c r="A19" s="181" t="s">
        <v>131</v>
      </c>
      <c r="B19" s="56" t="s">
        <v>132</v>
      </c>
      <c r="C19" s="189">
        <f>C10/WPF!D13%</f>
        <v>20.922637275627366</v>
      </c>
      <c r="D19" s="189">
        <f>D10/WPF!E13%</f>
        <v>29.73558673968137</v>
      </c>
      <c r="E19" s="189">
        <f>E10/WPF!F13%</f>
        <v>55.982746471274986</v>
      </c>
      <c r="F19" s="189">
        <f>F10/WPF!G13%</f>
        <v>56.16915056018265</v>
      </c>
      <c r="G19" s="346">
        <f>G10/WPF!H13%</f>
        <v>49.77069660145293</v>
      </c>
      <c r="H19" s="189">
        <f>H10/WPF!I13%</f>
        <v>29.73187839504471</v>
      </c>
      <c r="I19" s="189">
        <f>I10/WPF!J13%</f>
        <v>32.11992296121516</v>
      </c>
      <c r="J19" s="189"/>
      <c r="K19" s="189"/>
      <c r="L19" s="189"/>
      <c r="M19" s="189"/>
      <c r="N19" s="189"/>
      <c r="O19" s="189"/>
      <c r="P19" s="189"/>
      <c r="Q19" s="190"/>
    </row>
    <row r="20" spans="1:17" ht="17.25" customHeight="1">
      <c r="A20" s="82" t="s">
        <v>133</v>
      </c>
      <c r="B20" s="191" t="s">
        <v>134</v>
      </c>
      <c r="C20" s="59">
        <f>C21+C22</f>
        <v>75196615</v>
      </c>
      <c r="D20" s="59">
        <f aca="true" t="shared" si="1" ref="D20:Q20">D21+D22</f>
        <v>80916668</v>
      </c>
      <c r="E20" s="59">
        <f t="shared" si="1"/>
        <v>81699693</v>
      </c>
      <c r="F20" s="59">
        <f t="shared" si="1"/>
        <v>85095905</v>
      </c>
      <c r="G20" s="347">
        <f t="shared" si="1"/>
        <v>114215926</v>
      </c>
      <c r="H20" s="59">
        <f t="shared" si="1"/>
        <v>167870396</v>
      </c>
      <c r="I20" s="59">
        <f t="shared" si="1"/>
        <v>132765334</v>
      </c>
      <c r="J20" s="59">
        <f t="shared" si="1"/>
        <v>103647586</v>
      </c>
      <c r="K20" s="59">
        <f t="shared" si="1"/>
        <v>118758338</v>
      </c>
      <c r="L20" s="192">
        <f t="shared" si="1"/>
        <v>105848430</v>
      </c>
      <c r="M20" s="59">
        <f t="shared" si="1"/>
        <v>108078216</v>
      </c>
      <c r="N20" s="59">
        <f t="shared" si="1"/>
        <v>111030581</v>
      </c>
      <c r="O20" s="59">
        <f t="shared" si="1"/>
        <v>110658756</v>
      </c>
      <c r="P20" s="59">
        <f t="shared" si="1"/>
        <v>116016075</v>
      </c>
      <c r="Q20" s="60">
        <f t="shared" si="1"/>
        <v>130658641</v>
      </c>
    </row>
    <row r="21" spans="1:17" ht="16.5" customHeight="1">
      <c r="A21" s="181" t="s">
        <v>69</v>
      </c>
      <c r="B21" s="56" t="s">
        <v>135</v>
      </c>
      <c r="C21" s="53">
        <f>WPF!D14</f>
        <v>74779347</v>
      </c>
      <c r="D21" s="53">
        <f>WPF!E14</f>
        <v>80901768</v>
      </c>
      <c r="E21" s="53">
        <f>WPF!F14</f>
        <v>80665439</v>
      </c>
      <c r="F21" s="53">
        <f>WPF!G14</f>
        <v>84339995</v>
      </c>
      <c r="G21" s="344">
        <f>WPF!H14</f>
        <v>98460107</v>
      </c>
      <c r="H21" s="53">
        <f>WPF!I14</f>
        <v>99870907</v>
      </c>
      <c r="I21" s="53">
        <f>WPF!J14</f>
        <v>101052833</v>
      </c>
      <c r="J21" s="53">
        <f>WPF!K14</f>
        <v>99647586</v>
      </c>
      <c r="K21" s="53">
        <f>WPF!L14</f>
        <v>104758338</v>
      </c>
      <c r="L21" s="193">
        <f>WPF!M14</f>
        <v>105848430</v>
      </c>
      <c r="M21" s="53">
        <f>WPF!N14</f>
        <v>108078216</v>
      </c>
      <c r="N21" s="53">
        <f>WPF!O14</f>
        <v>111030581</v>
      </c>
      <c r="O21" s="53">
        <f>WPF!P14</f>
        <v>110658756</v>
      </c>
      <c r="P21" s="53">
        <f>WPF!Q14</f>
        <v>114016075</v>
      </c>
      <c r="Q21" s="55">
        <f>WPF!R14</f>
        <v>118658641</v>
      </c>
    </row>
    <row r="22" spans="1:17" ht="16.5" customHeight="1">
      <c r="A22" s="181" t="s">
        <v>71</v>
      </c>
      <c r="B22" s="56" t="s">
        <v>72</v>
      </c>
      <c r="C22" s="53">
        <f>WPF!D15</f>
        <v>417268</v>
      </c>
      <c r="D22" s="53">
        <f>WPF!E15</f>
        <v>14900</v>
      </c>
      <c r="E22" s="53">
        <f>WPF!F15</f>
        <v>1034254</v>
      </c>
      <c r="F22" s="53">
        <f>WPF!G15</f>
        <v>755910</v>
      </c>
      <c r="G22" s="344">
        <f>WPF!H15</f>
        <v>15755819</v>
      </c>
      <c r="H22" s="53">
        <f>WPF!I15</f>
        <v>67999489</v>
      </c>
      <c r="I22" s="53">
        <f>WPF!J15</f>
        <v>31712501</v>
      </c>
      <c r="J22" s="53">
        <f>WPF!K15</f>
        <v>4000000</v>
      </c>
      <c r="K22" s="53">
        <f>WPF!L15</f>
        <v>14000000</v>
      </c>
      <c r="L22" s="53">
        <f>WPF!M15</f>
        <v>0</v>
      </c>
      <c r="M22" s="53">
        <f>WPF!N15</f>
        <v>0</v>
      </c>
      <c r="N22" s="53">
        <f>WPF!O15</f>
        <v>0</v>
      </c>
      <c r="O22" s="53">
        <f>WPF!P15</f>
        <v>0</v>
      </c>
      <c r="P22" s="53">
        <f>WPF!Q15</f>
        <v>2000000</v>
      </c>
      <c r="Q22" s="55">
        <f>WPF!R15</f>
        <v>12000000</v>
      </c>
    </row>
    <row r="23" spans="1:17" ht="16.5" customHeight="1">
      <c r="A23" s="181" t="s">
        <v>73</v>
      </c>
      <c r="B23" s="56" t="s">
        <v>75</v>
      </c>
      <c r="C23" s="53">
        <f>WPF!D16</f>
        <v>0</v>
      </c>
      <c r="D23" s="53">
        <f>WPF!E16</f>
        <v>0</v>
      </c>
      <c r="E23" s="53">
        <f>WPF!F16</f>
        <v>197354</v>
      </c>
      <c r="F23" s="53">
        <f>WPF!G16</f>
        <v>255910</v>
      </c>
      <c r="G23" s="344">
        <f>WPF!H16</f>
        <v>13500000</v>
      </c>
      <c r="H23" s="53">
        <f>WPF!I16</f>
        <v>22400000</v>
      </c>
      <c r="I23" s="53">
        <f>WPF!J16</f>
        <v>17245000</v>
      </c>
      <c r="J23" s="53">
        <f>WPF!K16</f>
        <v>4000000</v>
      </c>
      <c r="K23" s="53">
        <f>WPF!L16</f>
        <v>5000000</v>
      </c>
      <c r="L23" s="53">
        <f>WPF!M16</f>
        <v>0</v>
      </c>
      <c r="M23" s="53">
        <f>WPF!N16</f>
        <v>0</v>
      </c>
      <c r="N23" s="53">
        <f>WPF!O16</f>
        <v>0</v>
      </c>
      <c r="O23" s="53">
        <f>WPF!P16</f>
        <v>0</v>
      </c>
      <c r="P23" s="53">
        <f>WPF!Q16</f>
        <v>2000000</v>
      </c>
      <c r="Q23" s="55">
        <f>WPF!R16</f>
        <v>12000000</v>
      </c>
    </row>
    <row r="24" spans="1:17" ht="16.5" customHeight="1">
      <c r="A24" s="82" t="s">
        <v>136</v>
      </c>
      <c r="B24" s="191" t="s">
        <v>137</v>
      </c>
      <c r="C24" s="59">
        <f>C25+C26</f>
        <v>93858939.64</v>
      </c>
      <c r="D24" s="59">
        <f aca="true" t="shared" si="2" ref="D24:Q24">D25+D26</f>
        <v>107175456.57</v>
      </c>
      <c r="E24" s="59">
        <f t="shared" si="2"/>
        <v>105850665</v>
      </c>
      <c r="F24" s="59">
        <f t="shared" si="2"/>
        <v>87934218</v>
      </c>
      <c r="G24" s="347">
        <f>G25+G26</f>
        <v>123691418</v>
      </c>
      <c r="H24" s="59">
        <f t="shared" si="2"/>
        <v>160935356</v>
      </c>
      <c r="I24" s="59">
        <f t="shared" si="2"/>
        <v>125498435</v>
      </c>
      <c r="J24" s="59">
        <f t="shared" si="2"/>
        <v>96541133</v>
      </c>
      <c r="K24" s="59">
        <f t="shared" si="2"/>
        <v>112608338</v>
      </c>
      <c r="L24" s="59">
        <f t="shared" si="2"/>
        <v>99598430</v>
      </c>
      <c r="M24" s="59">
        <f t="shared" si="2"/>
        <v>101277046</v>
      </c>
      <c r="N24" s="59">
        <f t="shared" si="2"/>
        <v>105968553.26</v>
      </c>
      <c r="O24" s="59">
        <f t="shared" si="2"/>
        <v>107208232.54</v>
      </c>
      <c r="P24" s="59">
        <f t="shared" si="2"/>
        <v>112716075.43</v>
      </c>
      <c r="Q24" s="60">
        <f t="shared" si="2"/>
        <v>126134692.3225</v>
      </c>
    </row>
    <row r="25" spans="1:17" ht="17.25" customHeight="1">
      <c r="A25" s="181" t="s">
        <v>69</v>
      </c>
      <c r="B25" s="56" t="s">
        <v>138</v>
      </c>
      <c r="C25" s="53">
        <f>WPF!D17+WPF!D33</f>
        <v>55125811</v>
      </c>
      <c r="D25" s="53">
        <f>WPF!E17+WPF!E33</f>
        <v>63862781</v>
      </c>
      <c r="E25" s="53">
        <f>WPF!F17+WPF!F33</f>
        <v>72590083</v>
      </c>
      <c r="F25" s="53">
        <f>WPF!G17+WPF!G33</f>
        <v>78155472</v>
      </c>
      <c r="G25" s="344">
        <f>WPF!H17+WPF!H33</f>
        <v>90269933</v>
      </c>
      <c r="H25" s="53">
        <f>WPF!I17+WPF!I33</f>
        <v>81524085</v>
      </c>
      <c r="I25" s="53">
        <f>WPF!J17+WPF!J33</f>
        <v>81707174</v>
      </c>
      <c r="J25" s="53">
        <f>WPF!K17+WPF!K33</f>
        <v>83001133</v>
      </c>
      <c r="K25" s="53">
        <f>WPF!L17+WPF!L33</f>
        <v>83608338</v>
      </c>
      <c r="L25" s="53">
        <f>WPF!M17+WPF!M33</f>
        <v>89598430</v>
      </c>
      <c r="M25" s="53">
        <f>WPF!N17+WPF!N33</f>
        <v>91277046</v>
      </c>
      <c r="N25" s="53">
        <f>WPF!O17+WPF!O33</f>
        <v>105968553.26</v>
      </c>
      <c r="O25" s="53">
        <f>WPF!P17+WPF!P33</f>
        <v>107208232.54</v>
      </c>
      <c r="P25" s="53">
        <f>WPF!Q17+WPF!Q33</f>
        <v>110716075.43</v>
      </c>
      <c r="Q25" s="55">
        <f>WPF!R17+WPF!R33</f>
        <v>114134692.3225</v>
      </c>
    </row>
    <row r="26" spans="1:17" ht="17.25" customHeight="1">
      <c r="A26" s="181" t="s">
        <v>71</v>
      </c>
      <c r="B26" s="56" t="s">
        <v>139</v>
      </c>
      <c r="C26" s="53">
        <f>WPF!D36</f>
        <v>38733128.64</v>
      </c>
      <c r="D26" s="53">
        <f>WPF!E36</f>
        <v>43312675.57</v>
      </c>
      <c r="E26" s="53">
        <f>WPF!F36</f>
        <v>33260582</v>
      </c>
      <c r="F26" s="53">
        <f>WPF!G36</f>
        <v>9778746</v>
      </c>
      <c r="G26" s="344">
        <f>WPF!H36</f>
        <v>33421485</v>
      </c>
      <c r="H26" s="53">
        <f>WPF!I36</f>
        <v>79411271</v>
      </c>
      <c r="I26" s="53">
        <f>WPF!J36</f>
        <v>43791261</v>
      </c>
      <c r="J26" s="53">
        <f>WPF!K36</f>
        <v>13540000</v>
      </c>
      <c r="K26" s="53">
        <f>WPF!L36</f>
        <v>29000000</v>
      </c>
      <c r="L26" s="53">
        <f>WPF!M36</f>
        <v>10000000</v>
      </c>
      <c r="M26" s="53">
        <f>WPF!N36</f>
        <v>10000000</v>
      </c>
      <c r="N26" s="53">
        <f>WPF!O36</f>
        <v>0</v>
      </c>
      <c r="O26" s="53">
        <f>WPF!P36</f>
        <v>0</v>
      </c>
      <c r="P26" s="53">
        <f>WPF!Q36</f>
        <v>2000000</v>
      </c>
      <c r="Q26" s="55">
        <f>WPF!R36</f>
        <v>12000000</v>
      </c>
    </row>
    <row r="27" spans="1:17" ht="31.5" customHeight="1">
      <c r="A27" s="82" t="s">
        <v>140</v>
      </c>
      <c r="B27" s="191" t="s">
        <v>141</v>
      </c>
      <c r="C27" s="59">
        <f>C20-C24</f>
        <v>-18662324.64</v>
      </c>
      <c r="D27" s="59">
        <f aca="true" t="shared" si="3" ref="D27:Q27">D20-D24</f>
        <v>-26258788.569999993</v>
      </c>
      <c r="E27" s="59">
        <f>E20-E24</f>
        <v>-24150972</v>
      </c>
      <c r="F27" s="59">
        <f t="shared" si="3"/>
        <v>-2838313</v>
      </c>
      <c r="G27" s="347">
        <f t="shared" si="3"/>
        <v>-9475492</v>
      </c>
      <c r="H27" s="59">
        <f t="shared" si="3"/>
        <v>6935040</v>
      </c>
      <c r="I27" s="59">
        <f t="shared" si="3"/>
        <v>7266899</v>
      </c>
      <c r="J27" s="59">
        <f t="shared" si="3"/>
        <v>7106453</v>
      </c>
      <c r="K27" s="59">
        <f t="shared" si="3"/>
        <v>6150000</v>
      </c>
      <c r="L27" s="59">
        <f t="shared" si="3"/>
        <v>6250000</v>
      </c>
      <c r="M27" s="59">
        <f t="shared" si="3"/>
        <v>6801170</v>
      </c>
      <c r="N27" s="59">
        <f t="shared" si="3"/>
        <v>5062027.739999995</v>
      </c>
      <c r="O27" s="59">
        <f t="shared" si="3"/>
        <v>3450523.4599999934</v>
      </c>
      <c r="P27" s="59">
        <f t="shared" si="3"/>
        <v>3299999.569999993</v>
      </c>
      <c r="Q27" s="60">
        <f t="shared" si="3"/>
        <v>4523948.677499995</v>
      </c>
    </row>
    <row r="28" spans="1:17" ht="15.75" customHeight="1">
      <c r="A28" s="82" t="s">
        <v>142</v>
      </c>
      <c r="B28" s="191" t="s">
        <v>219</v>
      </c>
      <c r="C28" s="59">
        <f>SUM(C29:C33)</f>
        <v>3355000</v>
      </c>
      <c r="D28" s="59">
        <f>SUM(D29:D33)</f>
        <v>26258789</v>
      </c>
      <c r="E28" s="59">
        <f>SUM(E29:E33)</f>
        <v>24150972</v>
      </c>
      <c r="F28" s="59">
        <f>SUM(F29:F33)</f>
        <v>2838313</v>
      </c>
      <c r="G28" s="347">
        <f>SUM(G29:G33)</f>
        <v>9475492</v>
      </c>
      <c r="H28" s="59"/>
      <c r="I28" s="59"/>
      <c r="J28" s="59"/>
      <c r="K28" s="59"/>
      <c r="L28" s="59"/>
      <c r="M28" s="59"/>
      <c r="N28" s="59"/>
      <c r="O28" s="59"/>
      <c r="P28" s="59"/>
      <c r="Q28" s="60"/>
    </row>
    <row r="29" spans="1:17" ht="15.75" customHeight="1">
      <c r="A29" s="83" t="s">
        <v>69</v>
      </c>
      <c r="B29" s="62" t="s">
        <v>92</v>
      </c>
      <c r="C29" s="53">
        <v>3355000</v>
      </c>
      <c r="D29" s="53">
        <v>7546170</v>
      </c>
      <c r="E29" s="53">
        <v>6330000</v>
      </c>
      <c r="F29" s="53"/>
      <c r="G29" s="344">
        <v>2100000</v>
      </c>
      <c r="H29" s="59"/>
      <c r="I29" s="59"/>
      <c r="J29" s="59"/>
      <c r="K29" s="59"/>
      <c r="L29" s="59"/>
      <c r="M29" s="59"/>
      <c r="N29" s="59"/>
      <c r="O29" s="59"/>
      <c r="P29" s="59"/>
      <c r="Q29" s="60"/>
    </row>
    <row r="30" spans="1:17" ht="15.75" customHeight="1">
      <c r="A30" s="83" t="s">
        <v>71</v>
      </c>
      <c r="B30" s="62" t="s">
        <v>93</v>
      </c>
      <c r="C30" s="53"/>
      <c r="D30" s="53">
        <v>4000000</v>
      </c>
      <c r="E30" s="53">
        <v>4810000</v>
      </c>
      <c r="F30" s="53"/>
      <c r="G30" s="344"/>
      <c r="H30" s="59"/>
      <c r="I30" s="59"/>
      <c r="J30" s="59"/>
      <c r="K30" s="59"/>
      <c r="L30" s="59"/>
      <c r="M30" s="59"/>
      <c r="N30" s="59"/>
      <c r="O30" s="59"/>
      <c r="P30" s="59"/>
      <c r="Q30" s="60"/>
    </row>
    <row r="31" spans="1:17" ht="15.75" customHeight="1">
      <c r="A31" s="83" t="s">
        <v>79</v>
      </c>
      <c r="B31" s="62" t="s">
        <v>217</v>
      </c>
      <c r="C31" s="53"/>
      <c r="D31" s="53">
        <v>2699265</v>
      </c>
      <c r="E31" s="53"/>
      <c r="F31" s="53"/>
      <c r="G31" s="344"/>
      <c r="H31" s="59"/>
      <c r="I31" s="59"/>
      <c r="J31" s="59"/>
      <c r="K31" s="59"/>
      <c r="L31" s="59"/>
      <c r="M31" s="59"/>
      <c r="N31" s="59"/>
      <c r="O31" s="59"/>
      <c r="P31" s="59"/>
      <c r="Q31" s="60"/>
    </row>
    <row r="32" spans="1:17" ht="57" customHeight="1">
      <c r="A32" s="83" t="s">
        <v>82</v>
      </c>
      <c r="B32" s="80" t="s">
        <v>101</v>
      </c>
      <c r="C32" s="53"/>
      <c r="D32" s="53">
        <v>12013354</v>
      </c>
      <c r="E32" s="53"/>
      <c r="F32" s="53"/>
      <c r="G32" s="344">
        <v>375492</v>
      </c>
      <c r="H32" s="59"/>
      <c r="I32" s="59"/>
      <c r="J32" s="59"/>
      <c r="K32" s="59"/>
      <c r="L32" s="59"/>
      <c r="M32" s="59"/>
      <c r="N32" s="59"/>
      <c r="O32" s="59"/>
      <c r="P32" s="59"/>
      <c r="Q32" s="60"/>
    </row>
    <row r="33" spans="1:17" ht="15.75" customHeight="1">
      <c r="A33" s="83" t="s">
        <v>143</v>
      </c>
      <c r="B33" s="62" t="s">
        <v>100</v>
      </c>
      <c r="C33" s="53"/>
      <c r="D33" s="53"/>
      <c r="E33" s="53">
        <v>13010972</v>
      </c>
      <c r="F33" s="53">
        <v>2838313</v>
      </c>
      <c r="G33" s="344">
        <v>7000000</v>
      </c>
      <c r="H33" s="59"/>
      <c r="I33" s="59"/>
      <c r="J33" s="59"/>
      <c r="K33" s="59"/>
      <c r="L33" s="59"/>
      <c r="M33" s="59"/>
      <c r="N33" s="59"/>
      <c r="O33" s="59"/>
      <c r="P33" s="59"/>
      <c r="Q33" s="60"/>
    </row>
    <row r="34" spans="1:17" ht="15.75" customHeight="1">
      <c r="A34" s="313"/>
      <c r="B34" s="314"/>
      <c r="C34" s="315"/>
      <c r="D34" s="315"/>
      <c r="E34" s="315"/>
      <c r="F34" s="315"/>
      <c r="G34" s="315"/>
      <c r="H34" s="316"/>
      <c r="I34" s="316"/>
      <c r="J34" s="316"/>
      <c r="K34" s="316"/>
      <c r="L34" s="316"/>
      <c r="M34" s="316"/>
      <c r="N34" s="316"/>
      <c r="O34" s="316"/>
      <c r="P34" s="316"/>
      <c r="Q34" s="316"/>
    </row>
    <row r="35" spans="1:17" ht="30" customHeight="1">
      <c r="A35" s="317"/>
      <c r="B35" s="318"/>
      <c r="C35" s="319"/>
      <c r="D35" s="319"/>
      <c r="E35" s="319"/>
      <c r="F35" s="319"/>
      <c r="G35" s="319"/>
      <c r="H35" s="320"/>
      <c r="I35" s="320"/>
      <c r="J35" s="320"/>
      <c r="K35" s="320"/>
      <c r="L35" s="320"/>
      <c r="M35" s="320"/>
      <c r="N35" s="320"/>
      <c r="O35" s="320"/>
      <c r="P35" s="320"/>
      <c r="Q35" s="320"/>
    </row>
    <row r="36" spans="1:17" ht="30.75" customHeight="1">
      <c r="A36" s="317"/>
      <c r="B36" s="318"/>
      <c r="C36" s="319"/>
      <c r="D36" s="319"/>
      <c r="E36" s="319"/>
      <c r="F36" s="319"/>
      <c r="G36" s="319"/>
      <c r="H36" s="320"/>
      <c r="I36" s="320"/>
      <c r="J36" s="320"/>
      <c r="K36" s="320"/>
      <c r="L36" s="320"/>
      <c r="M36" s="320"/>
      <c r="N36" s="320"/>
      <c r="O36" s="320"/>
      <c r="P36" s="320"/>
      <c r="Q36" s="320"/>
    </row>
    <row r="37" spans="1:17" ht="15.75" customHeight="1">
      <c r="A37" s="317"/>
      <c r="B37" s="318"/>
      <c r="C37" s="319"/>
      <c r="D37" s="319"/>
      <c r="E37" s="319"/>
      <c r="F37" s="319"/>
      <c r="G37" s="319"/>
      <c r="H37" s="320"/>
      <c r="I37" s="320"/>
      <c r="J37" s="320"/>
      <c r="K37" s="320"/>
      <c r="L37" s="320"/>
      <c r="M37" s="320"/>
      <c r="N37" s="320"/>
      <c r="O37" s="320"/>
      <c r="P37" s="320"/>
      <c r="Q37" s="320"/>
    </row>
    <row r="38" spans="1:17" ht="15.75" customHeight="1" thickBot="1">
      <c r="A38" s="317"/>
      <c r="B38" s="318"/>
      <c r="C38" s="319"/>
      <c r="D38" s="319"/>
      <c r="E38" s="319"/>
      <c r="F38" s="319"/>
      <c r="G38" s="319"/>
      <c r="H38" s="320"/>
      <c r="I38" s="320"/>
      <c r="J38" s="320"/>
      <c r="K38" s="320"/>
      <c r="L38" s="320"/>
      <c r="M38" s="320"/>
      <c r="N38" s="320"/>
      <c r="O38" s="320"/>
      <c r="P38" s="320"/>
      <c r="Q38" s="320"/>
    </row>
    <row r="39" spans="1:17" ht="15.75" customHeight="1" thickBot="1">
      <c r="A39" s="599" t="s">
        <v>115</v>
      </c>
      <c r="B39" s="600" t="s">
        <v>64</v>
      </c>
      <c r="C39" s="601" t="s">
        <v>65</v>
      </c>
      <c r="D39" s="601"/>
      <c r="E39" s="601"/>
      <c r="F39" s="601"/>
      <c r="G39" s="601"/>
      <c r="H39" s="601"/>
      <c r="I39" s="601"/>
      <c r="J39" s="601"/>
      <c r="K39" s="601"/>
      <c r="L39" s="601"/>
      <c r="M39" s="601"/>
      <c r="N39" s="601"/>
      <c r="O39" s="601"/>
      <c r="P39" s="601"/>
      <c r="Q39" s="601"/>
    </row>
    <row r="40" spans="1:17" ht="15.75" customHeight="1" thickBot="1">
      <c r="A40" s="599"/>
      <c r="B40" s="600"/>
      <c r="C40" s="602" t="s">
        <v>66</v>
      </c>
      <c r="D40" s="603"/>
      <c r="E40" s="603"/>
      <c r="F40" s="604"/>
      <c r="G40" s="605" t="s">
        <v>116</v>
      </c>
      <c r="H40" s="605"/>
      <c r="I40" s="605"/>
      <c r="J40" s="605"/>
      <c r="K40" s="605"/>
      <c r="L40" s="605"/>
      <c r="M40" s="605"/>
      <c r="N40" s="605"/>
      <c r="O40" s="605"/>
      <c r="P40" s="605"/>
      <c r="Q40" s="605"/>
    </row>
    <row r="41" spans="1:17" ht="15.75" customHeight="1" thickBot="1">
      <c r="A41" s="599"/>
      <c r="B41" s="600"/>
      <c r="C41" s="174">
        <v>2007</v>
      </c>
      <c r="D41" s="174">
        <v>2008</v>
      </c>
      <c r="E41" s="174">
        <v>2009</v>
      </c>
      <c r="F41" s="175">
        <v>2010</v>
      </c>
      <c r="G41" s="348">
        <v>2011</v>
      </c>
      <c r="H41" s="174">
        <v>2012</v>
      </c>
      <c r="I41" s="174">
        <v>2013</v>
      </c>
      <c r="J41" s="174">
        <v>2014</v>
      </c>
      <c r="K41" s="174">
        <v>2015</v>
      </c>
      <c r="L41" s="174">
        <v>2016</v>
      </c>
      <c r="M41" s="174">
        <v>2017</v>
      </c>
      <c r="N41" s="174">
        <v>2018</v>
      </c>
      <c r="O41" s="174">
        <v>2019</v>
      </c>
      <c r="P41" s="174">
        <v>2020</v>
      </c>
      <c r="Q41" s="176">
        <v>2021</v>
      </c>
    </row>
    <row r="42" spans="1:17" ht="14.25" customHeight="1">
      <c r="A42" s="82" t="s">
        <v>144</v>
      </c>
      <c r="B42" s="191" t="s">
        <v>220</v>
      </c>
      <c r="C42" s="59"/>
      <c r="D42" s="59"/>
      <c r="E42" s="59"/>
      <c r="F42" s="59"/>
      <c r="G42" s="347"/>
      <c r="H42" s="59">
        <f>SUM(H43:H45)</f>
        <v>6935040</v>
      </c>
      <c r="I42" s="59">
        <f aca="true" t="shared" si="4" ref="I42:Q42">SUM(I43:I45)</f>
        <v>7266899</v>
      </c>
      <c r="J42" s="59">
        <f t="shared" si="4"/>
        <v>7106453</v>
      </c>
      <c r="K42" s="59">
        <f t="shared" si="4"/>
        <v>6150000</v>
      </c>
      <c r="L42" s="59">
        <f t="shared" si="4"/>
        <v>6250000</v>
      </c>
      <c r="M42" s="59">
        <f t="shared" si="4"/>
        <v>6801170</v>
      </c>
      <c r="N42" s="59">
        <f t="shared" si="4"/>
        <v>5062028</v>
      </c>
      <c r="O42" s="59">
        <f t="shared" si="4"/>
        <v>3450523</v>
      </c>
      <c r="P42" s="59">
        <f t="shared" si="4"/>
        <v>3300000</v>
      </c>
      <c r="Q42" s="60">
        <f t="shared" si="4"/>
        <v>4523949</v>
      </c>
    </row>
    <row r="43" spans="1:17" ht="14.25" customHeight="1">
      <c r="A43" s="84" t="s">
        <v>69</v>
      </c>
      <c r="B43" s="62" t="s">
        <v>216</v>
      </c>
      <c r="C43" s="61"/>
      <c r="D43" s="54"/>
      <c r="E43" s="54"/>
      <c r="F43" s="85"/>
      <c r="G43" s="344"/>
      <c r="H43" s="54">
        <f>H53</f>
        <v>3535040</v>
      </c>
      <c r="I43" s="54">
        <f aca="true" t="shared" si="5" ref="I43:Q43">I53</f>
        <v>3666899</v>
      </c>
      <c r="J43" s="54">
        <f t="shared" si="5"/>
        <v>3506453</v>
      </c>
      <c r="K43" s="54">
        <f t="shared" si="5"/>
        <v>2550000</v>
      </c>
      <c r="L43" s="54">
        <f>L53</f>
        <v>2550000</v>
      </c>
      <c r="M43" s="54">
        <f t="shared" si="5"/>
        <v>2401170</v>
      </c>
      <c r="N43" s="54">
        <f t="shared" si="5"/>
        <v>62028</v>
      </c>
      <c r="O43" s="54">
        <f t="shared" si="5"/>
        <v>750523</v>
      </c>
      <c r="P43" s="54">
        <f t="shared" si="5"/>
        <v>600000</v>
      </c>
      <c r="Q43" s="57">
        <f t="shared" si="5"/>
        <v>423949</v>
      </c>
    </row>
    <row r="44" spans="1:17" ht="14.25" customHeight="1">
      <c r="A44" s="84" t="s">
        <v>71</v>
      </c>
      <c r="B44" s="62" t="s">
        <v>221</v>
      </c>
      <c r="C44" s="61"/>
      <c r="D44" s="54"/>
      <c r="E44" s="54"/>
      <c r="F44" s="85"/>
      <c r="G44" s="344"/>
      <c r="H44" s="54">
        <f>H54</f>
        <v>400000</v>
      </c>
      <c r="I44" s="54">
        <f aca="true" t="shared" si="6" ref="I44:Q44">I54</f>
        <v>600000</v>
      </c>
      <c r="J44" s="54">
        <f t="shared" si="6"/>
        <v>600000</v>
      </c>
      <c r="K44" s="54">
        <f t="shared" si="6"/>
        <v>600000</v>
      </c>
      <c r="L44" s="54">
        <f t="shared" si="6"/>
        <v>700000</v>
      </c>
      <c r="M44" s="54">
        <f t="shared" si="6"/>
        <v>1400000</v>
      </c>
      <c r="N44" s="54">
        <f t="shared" si="6"/>
        <v>0</v>
      </c>
      <c r="O44" s="54">
        <f t="shared" si="6"/>
        <v>0</v>
      </c>
      <c r="P44" s="54">
        <f t="shared" si="6"/>
        <v>0</v>
      </c>
      <c r="Q44" s="57">
        <f t="shared" si="6"/>
        <v>0</v>
      </c>
    </row>
    <row r="45" spans="1:17" ht="15" customHeight="1">
      <c r="A45" s="84" t="s">
        <v>79</v>
      </c>
      <c r="B45" s="62" t="s">
        <v>94</v>
      </c>
      <c r="C45" s="61"/>
      <c r="D45" s="54"/>
      <c r="E45" s="54"/>
      <c r="F45" s="85"/>
      <c r="G45" s="344"/>
      <c r="H45" s="54">
        <f>H55</f>
        <v>3000000</v>
      </c>
      <c r="I45" s="54">
        <f aca="true" t="shared" si="7" ref="I45:Q45">I55</f>
        <v>3000000</v>
      </c>
      <c r="J45" s="54">
        <f t="shared" si="7"/>
        <v>3000000</v>
      </c>
      <c r="K45" s="54">
        <f t="shared" si="7"/>
        <v>3000000</v>
      </c>
      <c r="L45" s="54">
        <f t="shared" si="7"/>
        <v>3000000</v>
      </c>
      <c r="M45" s="54">
        <f t="shared" si="7"/>
        <v>3000000</v>
      </c>
      <c r="N45" s="54">
        <f t="shared" si="7"/>
        <v>5000000</v>
      </c>
      <c r="O45" s="54">
        <f t="shared" si="7"/>
        <v>2700000</v>
      </c>
      <c r="P45" s="54">
        <f t="shared" si="7"/>
        <v>2700000</v>
      </c>
      <c r="Q45" s="57">
        <f t="shared" si="7"/>
        <v>4100000</v>
      </c>
    </row>
    <row r="46" spans="1:17" ht="15.75" customHeight="1">
      <c r="A46" s="82" t="s">
        <v>145</v>
      </c>
      <c r="B46" s="191" t="s">
        <v>112</v>
      </c>
      <c r="C46" s="59">
        <f>WPF!D24+WPF!D53</f>
        <v>39684305</v>
      </c>
      <c r="D46" s="59">
        <f>WPF!E24+WPF!E53</f>
        <v>31400550</v>
      </c>
      <c r="E46" s="59">
        <f>WPF!F24+WPF!F53</f>
        <v>28859761</v>
      </c>
      <c r="F46" s="59">
        <f>WPF!G24+WPF!G53</f>
        <v>10245475</v>
      </c>
      <c r="G46" s="347">
        <f>WPF!H24+WPF!H53</f>
        <v>14027077</v>
      </c>
      <c r="H46" s="59">
        <f>WPF!I24+WPF!I53</f>
        <v>0</v>
      </c>
      <c r="I46" s="59">
        <f>WPF!J24+WPF!J53</f>
        <v>0</v>
      </c>
      <c r="J46" s="59">
        <f>WPF!K24+WPF!K53</f>
        <v>0</v>
      </c>
      <c r="K46" s="59">
        <f>WPF!L24+WPF!L53</f>
        <v>0</v>
      </c>
      <c r="L46" s="59">
        <f>WPF!M24+WPF!M53</f>
        <v>0</v>
      </c>
      <c r="M46" s="59">
        <f>WPF!N24+WPF!N53</f>
        <v>0</v>
      </c>
      <c r="N46" s="59">
        <f>WPF!O24+WPF!O53</f>
        <v>0</v>
      </c>
      <c r="O46" s="59">
        <f>WPF!P24+WPF!P53</f>
        <v>0</v>
      </c>
      <c r="P46" s="59">
        <f>WPF!Q24+WPF!Q53</f>
        <v>0</v>
      </c>
      <c r="Q46" s="60">
        <f>WPF!R24+WPF!R53</f>
        <v>0</v>
      </c>
    </row>
    <row r="47" spans="1:17" ht="11.25" customHeight="1">
      <c r="A47" s="181" t="s">
        <v>69</v>
      </c>
      <c r="B47" s="62" t="s">
        <v>92</v>
      </c>
      <c r="C47" s="53">
        <v>3355000</v>
      </c>
      <c r="D47" s="53">
        <v>7546170</v>
      </c>
      <c r="E47" s="53">
        <v>6330000</v>
      </c>
      <c r="F47" s="53"/>
      <c r="G47" s="344">
        <v>2100000</v>
      </c>
      <c r="H47" s="53"/>
      <c r="I47" s="53"/>
      <c r="J47" s="53"/>
      <c r="K47" s="53"/>
      <c r="L47" s="53"/>
      <c r="M47" s="53"/>
      <c r="N47" s="53"/>
      <c r="O47" s="53"/>
      <c r="P47" s="53"/>
      <c r="Q47" s="55"/>
    </row>
    <row r="48" spans="1:17" ht="11.25" customHeight="1">
      <c r="A48" s="181" t="s">
        <v>71</v>
      </c>
      <c r="B48" s="62" t="s">
        <v>93</v>
      </c>
      <c r="C48" s="53"/>
      <c r="D48" s="53">
        <v>4000000</v>
      </c>
      <c r="E48" s="53">
        <v>4810000</v>
      </c>
      <c r="F48" s="53"/>
      <c r="G48" s="344"/>
      <c r="H48" s="53"/>
      <c r="I48" s="53"/>
      <c r="J48" s="53"/>
      <c r="K48" s="53"/>
      <c r="L48" s="53"/>
      <c r="M48" s="53"/>
      <c r="N48" s="53"/>
      <c r="O48" s="53"/>
      <c r="P48" s="53"/>
      <c r="Q48" s="55"/>
    </row>
    <row r="49" spans="1:17" ht="11.25" customHeight="1">
      <c r="A49" s="181" t="s">
        <v>79</v>
      </c>
      <c r="B49" s="62" t="s">
        <v>100</v>
      </c>
      <c r="C49" s="53"/>
      <c r="D49" s="53"/>
      <c r="E49" s="53">
        <v>14000000</v>
      </c>
      <c r="F49" s="53">
        <v>9000000</v>
      </c>
      <c r="G49" s="344">
        <v>11500000</v>
      </c>
      <c r="H49" s="53"/>
      <c r="I49" s="53"/>
      <c r="J49" s="53"/>
      <c r="K49" s="53"/>
      <c r="L49" s="53"/>
      <c r="M49" s="53"/>
      <c r="N49" s="53"/>
      <c r="O49" s="53"/>
      <c r="P49" s="53"/>
      <c r="Q49" s="55"/>
    </row>
    <row r="50" spans="1:17" ht="51.75" customHeight="1">
      <c r="A50" s="181" t="s">
        <v>82</v>
      </c>
      <c r="B50" s="80" t="s">
        <v>101</v>
      </c>
      <c r="C50" s="53">
        <v>13695715</v>
      </c>
      <c r="D50" s="53">
        <v>15733115</v>
      </c>
      <c r="E50" s="53">
        <v>3719761</v>
      </c>
      <c r="F50" s="53">
        <v>1245475</v>
      </c>
      <c r="G50" s="344">
        <v>427077</v>
      </c>
      <c r="H50" s="53"/>
      <c r="I50" s="53"/>
      <c r="J50" s="53"/>
      <c r="K50" s="53"/>
      <c r="L50" s="53"/>
      <c r="M50" s="53"/>
      <c r="N50" s="53"/>
      <c r="O50" s="53"/>
      <c r="P50" s="53"/>
      <c r="Q50" s="55"/>
    </row>
    <row r="51" spans="1:17" ht="14.25" customHeight="1">
      <c r="A51" s="181" t="s">
        <v>143</v>
      </c>
      <c r="B51" s="81" t="s">
        <v>102</v>
      </c>
      <c r="C51" s="53">
        <v>22633590</v>
      </c>
      <c r="D51" s="53">
        <v>4121265</v>
      </c>
      <c r="E51" s="53"/>
      <c r="F51" s="53"/>
      <c r="G51" s="344"/>
      <c r="H51" s="53"/>
      <c r="I51" s="53"/>
      <c r="J51" s="53"/>
      <c r="K51" s="53"/>
      <c r="L51" s="53"/>
      <c r="M51" s="53"/>
      <c r="N51" s="53"/>
      <c r="O51" s="53"/>
      <c r="P51" s="53"/>
      <c r="Q51" s="55"/>
    </row>
    <row r="52" spans="1:17" ht="21" customHeight="1">
      <c r="A52" s="82" t="s">
        <v>218</v>
      </c>
      <c r="B52" s="191" t="s">
        <v>113</v>
      </c>
      <c r="C52" s="59">
        <f>WPF!D29+WPF!D34</f>
        <v>1167600</v>
      </c>
      <c r="D52" s="59">
        <f>WPF!E29+WPF!E34</f>
        <v>1422000</v>
      </c>
      <c r="E52" s="59">
        <f>WPF!F29+WPF!F34</f>
        <v>3463314</v>
      </c>
      <c r="F52" s="59">
        <f>WPF!G29+WPF!G34</f>
        <v>6980085</v>
      </c>
      <c r="G52" s="347">
        <f>WPF!H29+WPF!H34</f>
        <v>4551585</v>
      </c>
      <c r="H52" s="59">
        <f>WPF!I29+WPF!I34</f>
        <v>6935040</v>
      </c>
      <c r="I52" s="59">
        <f>WPF!J29+WPF!J34</f>
        <v>7266899</v>
      </c>
      <c r="J52" s="59">
        <f>WPF!K29+WPF!K34</f>
        <v>7106453</v>
      </c>
      <c r="K52" s="59">
        <f>WPF!L29+WPF!L34</f>
        <v>6150000</v>
      </c>
      <c r="L52" s="59">
        <f>WPF!M29+WPF!M34</f>
        <v>6250000</v>
      </c>
      <c r="M52" s="59">
        <f>WPF!N29+WPF!N34</f>
        <v>6801170</v>
      </c>
      <c r="N52" s="59">
        <f>WPF!O29+WPF!O34</f>
        <v>5062028</v>
      </c>
      <c r="O52" s="59">
        <f>WPF!P29+WPF!P34</f>
        <v>3450523</v>
      </c>
      <c r="P52" s="59">
        <f>WPF!Q29+WPF!Q34</f>
        <v>3300000</v>
      </c>
      <c r="Q52" s="60">
        <f>WPF!R29+WPF!R34</f>
        <v>4523949</v>
      </c>
    </row>
    <row r="53" spans="1:17" ht="12" customHeight="1">
      <c r="A53" s="84" t="s">
        <v>69</v>
      </c>
      <c r="B53" s="62" t="s">
        <v>92</v>
      </c>
      <c r="C53" s="61">
        <v>1167600</v>
      </c>
      <c r="D53" s="54">
        <v>1422000</v>
      </c>
      <c r="E53" s="54">
        <v>2963314</v>
      </c>
      <c r="F53" s="85">
        <v>3340085</v>
      </c>
      <c r="G53" s="344">
        <f>WPF!H30</f>
        <v>2141585</v>
      </c>
      <c r="H53" s="54">
        <f>WPF!I30</f>
        <v>3535040</v>
      </c>
      <c r="I53" s="54">
        <f>WPF!J30</f>
        <v>3666899</v>
      </c>
      <c r="J53" s="54">
        <f>WPF!K30</f>
        <v>3506453</v>
      </c>
      <c r="K53" s="54">
        <f>WPF!L30</f>
        <v>2550000</v>
      </c>
      <c r="L53" s="54">
        <f>WPF!M30</f>
        <v>2550000</v>
      </c>
      <c r="M53" s="54">
        <f>WPF!N30</f>
        <v>2401170</v>
      </c>
      <c r="N53" s="54">
        <f>WPF!O30</f>
        <v>62028</v>
      </c>
      <c r="O53" s="54">
        <f>WPF!P30</f>
        <v>750523</v>
      </c>
      <c r="P53" s="54">
        <f>WPF!Q30</f>
        <v>600000</v>
      </c>
      <c r="Q53" s="57">
        <f>WPF!R30</f>
        <v>423949</v>
      </c>
    </row>
    <row r="54" spans="1:17" ht="12" customHeight="1">
      <c r="A54" s="84" t="s">
        <v>71</v>
      </c>
      <c r="B54" s="62" t="s">
        <v>93</v>
      </c>
      <c r="C54" s="61"/>
      <c r="D54" s="54"/>
      <c r="E54" s="54">
        <v>500000</v>
      </c>
      <c r="F54" s="85">
        <v>3600000</v>
      </c>
      <c r="G54" s="344">
        <f>WPF!H31</f>
        <v>410000</v>
      </c>
      <c r="H54" s="54">
        <f>WPF!I31</f>
        <v>400000</v>
      </c>
      <c r="I54" s="54">
        <f>WPF!J31</f>
        <v>600000</v>
      </c>
      <c r="J54" s="54">
        <f>WPF!K31</f>
        <v>600000</v>
      </c>
      <c r="K54" s="54">
        <f>WPF!L31</f>
        <v>600000</v>
      </c>
      <c r="L54" s="54">
        <f>WPF!M31</f>
        <v>700000</v>
      </c>
      <c r="M54" s="54">
        <f>WPF!N31</f>
        <v>1400000</v>
      </c>
      <c r="N54" s="54">
        <f>WPF!O31</f>
        <v>0</v>
      </c>
      <c r="O54" s="54">
        <f>WPF!P31</f>
        <v>0</v>
      </c>
      <c r="P54" s="54">
        <f>WPF!Q31</f>
        <v>0</v>
      </c>
      <c r="Q54" s="57">
        <f>WPF!R31</f>
        <v>0</v>
      </c>
    </row>
    <row r="55" spans="1:17" ht="12.75" customHeight="1">
      <c r="A55" s="84" t="s">
        <v>79</v>
      </c>
      <c r="B55" s="62" t="s">
        <v>94</v>
      </c>
      <c r="C55" s="61"/>
      <c r="D55" s="54"/>
      <c r="E55" s="54"/>
      <c r="F55" s="85"/>
      <c r="G55" s="344">
        <f>WPF!H32</f>
        <v>2000000</v>
      </c>
      <c r="H55" s="54">
        <f>WPF!I32</f>
        <v>3000000</v>
      </c>
      <c r="I55" s="54">
        <f>WPF!J32</f>
        <v>3000000</v>
      </c>
      <c r="J55" s="54">
        <f>WPF!K32</f>
        <v>3000000</v>
      </c>
      <c r="K55" s="54">
        <f>WPF!L32</f>
        <v>3000000</v>
      </c>
      <c r="L55" s="54">
        <f>WPF!M32</f>
        <v>3000000</v>
      </c>
      <c r="M55" s="54">
        <f>WPF!N32</f>
        <v>3000000</v>
      </c>
      <c r="N55" s="54">
        <f>WPF!O32</f>
        <v>5000000</v>
      </c>
      <c r="O55" s="54">
        <f>WPF!P32</f>
        <v>2700000</v>
      </c>
      <c r="P55" s="54">
        <f>WPF!Q32</f>
        <v>2700000</v>
      </c>
      <c r="Q55" s="57">
        <f>WPF!R32</f>
        <v>4100000</v>
      </c>
    </row>
    <row r="56" spans="1:17" ht="36" customHeight="1">
      <c r="A56" s="194">
        <v>16</v>
      </c>
      <c r="B56" s="195" t="s">
        <v>146</v>
      </c>
      <c r="C56" s="196">
        <f>(WPF!D14+WPF!D24)/'Prognoza długu'!C25%</f>
        <v>201.55468007536433</v>
      </c>
      <c r="D56" s="196">
        <f>(WPF!E14+WPF!E24)/'Prognoza długu'!D25%</f>
        <v>157.7697469829884</v>
      </c>
      <c r="E56" s="196">
        <f>(WPF!F14+WPF!F24)/'Prognoza długu'!E25%</f>
        <v>116.24893719986517</v>
      </c>
      <c r="F56" s="196">
        <f>(WPF!G14+WPF!G24)/'Prognoza długu'!F25%</f>
        <v>109.50668943564182</v>
      </c>
      <c r="G56" s="349">
        <f>(WPF!H14+WPF!H24)/'Prognoza długu'!G25%</f>
        <v>109.54609216337847</v>
      </c>
      <c r="H56" s="196">
        <f>(WPF!I14+WPF!I24)/'Prognoza długu'!H25%</f>
        <v>122.50478738890477</v>
      </c>
      <c r="I56" s="196">
        <f>(WPF!J14+WPF!J24)/'Prognoza długu'!I25%</f>
        <v>123.6768181457359</v>
      </c>
      <c r="J56" s="196">
        <f>(WPF!K14+WPF!K24)/'Prognoza długu'!J25%</f>
        <v>120.0556936975788</v>
      </c>
      <c r="K56" s="196">
        <f>(WPF!L14+WPF!L24)/'Prognoza długu'!K25%</f>
        <v>125.2965200671732</v>
      </c>
      <c r="L56" s="196">
        <f>(WPF!M14+WPF!M24)/'Prognoza długu'!L25%</f>
        <v>118.1364785074917</v>
      </c>
      <c r="M56" s="196">
        <f>(WPF!N14+WPF!N24)/'Prognoza długu'!M25%</f>
        <v>118.40678542554939</v>
      </c>
      <c r="N56" s="196">
        <f>(WPF!O14+WPF!O24)/'Prognoza długu'!N25%</f>
        <v>104.77691502268604</v>
      </c>
      <c r="O56" s="196">
        <f>(WPF!P14+WPF!P24)/'Prognoza długu'!O25%</f>
        <v>103.2185247142402</v>
      </c>
      <c r="P56" s="196">
        <f>(WPF!Q14+WPF!Q24)/'Prognoza długu'!P25%</f>
        <v>102.98059659104011</v>
      </c>
      <c r="Q56" s="197">
        <f>(WPF!R14+WPF!R24)/'Prognoza długu'!Q25%</f>
        <v>103.96369288377025</v>
      </c>
    </row>
    <row r="57" spans="1:17" ht="12.75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</row>
    <row r="58" spans="1:17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</sheetData>
  <sheetProtection/>
  <mergeCells count="11">
    <mergeCell ref="C8:F8"/>
    <mergeCell ref="A39:A41"/>
    <mergeCell ref="B39:B41"/>
    <mergeCell ref="C39:Q39"/>
    <mergeCell ref="C40:F40"/>
    <mergeCell ref="G40:Q40"/>
    <mergeCell ref="A6:Q6"/>
    <mergeCell ref="A7:A9"/>
    <mergeCell ref="B7:B9"/>
    <mergeCell ref="C7:Q7"/>
    <mergeCell ref="G8:Q8"/>
  </mergeCells>
  <printOptions horizontalCentered="1"/>
  <pageMargins left="0.5905511811023623" right="0.3937007874015748" top="0.984251968503937" bottom="0.4724409448818898" header="0.5118110236220472" footer="0.5118110236220472"/>
  <pageSetup fitToHeight="2" horizontalDpi="600" verticalDpi="600" orientation="landscape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95"/>
  <sheetViews>
    <sheetView view="pageLayout" zoomScaleNormal="90" workbookViewId="0" topLeftCell="A26">
      <selection activeCell="A80" sqref="A80:IV80"/>
    </sheetView>
  </sheetViews>
  <sheetFormatPr defaultColWidth="11.57421875" defaultRowHeight="12.75"/>
  <cols>
    <col min="1" max="1" width="5.28125" style="0" customWidth="1"/>
    <col min="2" max="2" width="35.57421875" style="0" customWidth="1"/>
    <col min="3" max="3" width="10.421875" style="31" customWidth="1"/>
    <col min="4" max="4" width="6.57421875" style="31" customWidth="1"/>
    <col min="5" max="5" width="7.00390625" style="31" customWidth="1"/>
    <col min="6" max="6" width="5.00390625" style="31" customWidth="1"/>
    <col min="7" max="7" width="7.00390625" style="31" customWidth="1"/>
    <col min="8" max="8" width="6.00390625" style="31" customWidth="1"/>
    <col min="9" max="9" width="16.7109375" style="31" customWidth="1"/>
    <col min="10" max="10" width="14.421875" style="31" customWidth="1"/>
    <col min="11" max="11" width="11.421875" style="31" customWidth="1"/>
    <col min="12" max="12" width="14.7109375" style="31" customWidth="1"/>
    <col min="13" max="13" width="12.8515625" style="31" customWidth="1"/>
    <col min="14" max="14" width="13.421875" style="31" customWidth="1"/>
    <col min="15" max="15" width="12.7109375" style="31" customWidth="1"/>
    <col min="16" max="16" width="12.57421875" style="31" customWidth="1"/>
    <col min="17" max="17" width="0.42578125" style="31" customWidth="1"/>
    <col min="18" max="18" width="16.57421875" style="0" customWidth="1"/>
    <col min="19" max="19" width="11.7109375" style="0" bestFit="1" customWidth="1"/>
  </cols>
  <sheetData>
    <row r="1" spans="1:18" s="34" customFormat="1" ht="15" customHeight="1">
      <c r="A1" s="492"/>
      <c r="B1" s="199"/>
      <c r="C1" s="199"/>
      <c r="D1" s="199"/>
      <c r="E1" s="199"/>
      <c r="F1" s="199"/>
      <c r="G1" s="200"/>
      <c r="H1" s="199"/>
      <c r="I1" s="199"/>
      <c r="J1" s="199"/>
      <c r="K1" s="199"/>
      <c r="L1" s="199"/>
      <c r="M1" s="199"/>
      <c r="N1" s="199"/>
      <c r="O1" s="199"/>
      <c r="P1" s="65" t="s">
        <v>147</v>
      </c>
      <c r="Q1" s="65"/>
      <c r="R1" s="199"/>
    </row>
    <row r="2" spans="1:18" s="37" customFormat="1" ht="4.5" customHeight="1">
      <c r="A2" s="492"/>
      <c r="B2" s="199"/>
      <c r="C2" s="199"/>
      <c r="D2" s="199"/>
      <c r="E2" s="199"/>
      <c r="F2" s="199"/>
      <c r="G2" s="201"/>
      <c r="H2" s="199"/>
      <c r="I2" s="199"/>
      <c r="J2" s="199"/>
      <c r="K2" s="199"/>
      <c r="L2" s="199"/>
      <c r="M2" s="199"/>
      <c r="N2" s="199"/>
      <c r="O2" s="199"/>
      <c r="P2" s="70"/>
      <c r="Q2" s="71"/>
      <c r="R2" s="199"/>
    </row>
    <row r="3" spans="1:18" s="37" customFormat="1" ht="12.75" customHeight="1">
      <c r="A3" s="492"/>
      <c r="B3" s="199"/>
      <c r="C3" s="199"/>
      <c r="D3" s="199"/>
      <c r="E3" s="199"/>
      <c r="F3" s="199"/>
      <c r="G3" s="202"/>
      <c r="H3" s="199"/>
      <c r="I3" s="199"/>
      <c r="J3" s="199"/>
      <c r="K3" s="199"/>
      <c r="L3" s="199"/>
      <c r="M3" s="199"/>
      <c r="N3" s="199"/>
      <c r="O3" s="199"/>
      <c r="P3" s="75" t="s">
        <v>247</v>
      </c>
      <c r="Q3" s="71"/>
      <c r="R3" s="199"/>
    </row>
    <row r="4" spans="1:18" s="37" customFormat="1" ht="12.75" customHeight="1">
      <c r="A4" s="492"/>
      <c r="B4" s="199"/>
      <c r="C4" s="199"/>
      <c r="D4" s="199"/>
      <c r="E4" s="199"/>
      <c r="F4" s="199"/>
      <c r="G4" s="202"/>
      <c r="H4" s="199"/>
      <c r="I4" s="199"/>
      <c r="J4" s="199"/>
      <c r="K4" s="199"/>
      <c r="L4" s="199"/>
      <c r="M4" s="199"/>
      <c r="N4" s="199"/>
      <c r="O4" s="199"/>
      <c r="P4" s="75" t="s">
        <v>49</v>
      </c>
      <c r="Q4" s="71"/>
      <c r="R4" s="199"/>
    </row>
    <row r="5" spans="1:18" s="37" customFormat="1" ht="12.75" customHeight="1" thickBot="1">
      <c r="A5" s="492"/>
      <c r="B5" s="199"/>
      <c r="C5" s="199"/>
      <c r="D5" s="199"/>
      <c r="E5" s="199"/>
      <c r="F5" s="199"/>
      <c r="G5" s="202"/>
      <c r="H5" s="199"/>
      <c r="I5" s="199"/>
      <c r="J5" s="199"/>
      <c r="K5" s="199"/>
      <c r="L5" s="199"/>
      <c r="M5" s="199"/>
      <c r="N5" s="199"/>
      <c r="O5" s="199"/>
      <c r="P5" s="75" t="s">
        <v>271</v>
      </c>
      <c r="Q5" s="71"/>
      <c r="R5" s="199"/>
    </row>
    <row r="6" spans="1:18" s="37" customFormat="1" ht="12.75" customHeight="1">
      <c r="A6" s="641" t="s">
        <v>230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</row>
    <row r="7" spans="1:18" s="37" customFormat="1" ht="12.75" customHeight="1" thickBot="1">
      <c r="A7" s="642"/>
      <c r="B7" s="642"/>
      <c r="C7" s="642"/>
      <c r="D7" s="642"/>
      <c r="E7" s="642"/>
      <c r="F7" s="642"/>
      <c r="G7" s="642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</row>
    <row r="8" spans="1:18" s="37" customFormat="1" ht="12.75" customHeight="1">
      <c r="A8" s="615" t="s">
        <v>115</v>
      </c>
      <c r="B8" s="618" t="s">
        <v>148</v>
      </c>
      <c r="C8" s="621" t="s">
        <v>149</v>
      </c>
      <c r="D8" s="624" t="s">
        <v>244</v>
      </c>
      <c r="E8" s="624"/>
      <c r="F8" s="624" t="s">
        <v>150</v>
      </c>
      <c r="G8" s="624"/>
      <c r="H8" s="624"/>
      <c r="I8" s="607" t="s">
        <v>151</v>
      </c>
      <c r="J8" s="607" t="s">
        <v>152</v>
      </c>
      <c r="K8" s="607"/>
      <c r="L8" s="607"/>
      <c r="M8" s="607"/>
      <c r="N8" s="607"/>
      <c r="O8" s="607"/>
      <c r="P8" s="607"/>
      <c r="Q8" s="607"/>
      <c r="R8" s="608" t="s">
        <v>153</v>
      </c>
    </row>
    <row r="9" spans="1:18" s="37" customFormat="1" ht="12.75" customHeight="1">
      <c r="A9" s="616"/>
      <c r="B9" s="619"/>
      <c r="C9" s="622"/>
      <c r="D9" s="625"/>
      <c r="E9" s="625"/>
      <c r="F9" s="625"/>
      <c r="G9" s="625"/>
      <c r="H9" s="625"/>
      <c r="I9" s="626"/>
      <c r="J9" s="611">
        <v>2011</v>
      </c>
      <c r="K9" s="611"/>
      <c r="L9" s="612"/>
      <c r="M9" s="613">
        <v>2012</v>
      </c>
      <c r="N9" s="613">
        <v>2013</v>
      </c>
      <c r="O9" s="613">
        <v>2014</v>
      </c>
      <c r="P9" s="613">
        <v>2015</v>
      </c>
      <c r="Q9" s="491">
        <v>2015</v>
      </c>
      <c r="R9" s="609"/>
    </row>
    <row r="10" spans="1:18" s="37" customFormat="1" ht="23.25" customHeight="1" thickBot="1">
      <c r="A10" s="617"/>
      <c r="B10" s="620"/>
      <c r="C10" s="623"/>
      <c r="D10" s="495" t="s">
        <v>154</v>
      </c>
      <c r="E10" s="495" t="s">
        <v>155</v>
      </c>
      <c r="F10" s="495" t="s">
        <v>156</v>
      </c>
      <c r="G10" s="495" t="s">
        <v>157</v>
      </c>
      <c r="H10" s="495" t="s">
        <v>158</v>
      </c>
      <c r="I10" s="627"/>
      <c r="J10" s="496" t="s">
        <v>213</v>
      </c>
      <c r="K10" s="496" t="s">
        <v>214</v>
      </c>
      <c r="L10" s="496" t="s">
        <v>215</v>
      </c>
      <c r="M10" s="614"/>
      <c r="N10" s="614"/>
      <c r="O10" s="614"/>
      <c r="P10" s="614"/>
      <c r="Q10" s="495"/>
      <c r="R10" s="610"/>
    </row>
    <row r="11" spans="1:18" s="32" customFormat="1" ht="15.75" customHeight="1">
      <c r="A11" s="203"/>
      <c r="B11" s="204" t="s">
        <v>159</v>
      </c>
      <c r="C11" s="205" t="s">
        <v>84</v>
      </c>
      <c r="D11" s="205" t="s">
        <v>84</v>
      </c>
      <c r="E11" s="205" t="s">
        <v>84</v>
      </c>
      <c r="F11" s="205"/>
      <c r="G11" s="205"/>
      <c r="H11" s="205"/>
      <c r="I11" s="206">
        <f aca="true" t="shared" si="0" ref="I11:P11">I12+I13</f>
        <v>191644803</v>
      </c>
      <c r="J11" s="207">
        <f t="shared" si="0"/>
        <v>17339664</v>
      </c>
      <c r="K11" s="351">
        <f t="shared" si="0"/>
        <v>-736118</v>
      </c>
      <c r="L11" s="207">
        <f t="shared" si="0"/>
        <v>16204546</v>
      </c>
      <c r="M11" s="206">
        <f t="shared" si="0"/>
        <v>80140800</v>
      </c>
      <c r="N11" s="206">
        <f t="shared" si="0"/>
        <v>44383074</v>
      </c>
      <c r="O11" s="208">
        <f t="shared" si="0"/>
        <v>13911014</v>
      </c>
      <c r="P11" s="208">
        <f t="shared" si="0"/>
        <v>29371015</v>
      </c>
      <c r="Q11" s="209">
        <v>0</v>
      </c>
      <c r="R11" s="210">
        <f aca="true" t="shared" si="1" ref="R11:R16">SUM(L11:P11)</f>
        <v>184010449</v>
      </c>
    </row>
    <row r="12" spans="1:18" s="38" customFormat="1" ht="14.25" customHeight="1">
      <c r="A12" s="211"/>
      <c r="B12" s="212" t="s">
        <v>160</v>
      </c>
      <c r="C12" s="109" t="s">
        <v>84</v>
      </c>
      <c r="D12" s="109" t="s">
        <v>84</v>
      </c>
      <c r="E12" s="109" t="s">
        <v>84</v>
      </c>
      <c r="F12" s="109"/>
      <c r="G12" s="109"/>
      <c r="H12" s="109"/>
      <c r="I12" s="213">
        <f aca="true" t="shared" si="2" ref="I12:P12">I75</f>
        <v>2782834</v>
      </c>
      <c r="J12" s="214">
        <f t="shared" si="2"/>
        <v>689928</v>
      </c>
      <c r="K12" s="214">
        <f t="shared" si="2"/>
        <v>-206400</v>
      </c>
      <c r="L12" s="214">
        <f t="shared" si="2"/>
        <v>483528</v>
      </c>
      <c r="M12" s="213">
        <f t="shared" si="2"/>
        <v>729529</v>
      </c>
      <c r="N12" s="213">
        <f t="shared" si="2"/>
        <v>591813</v>
      </c>
      <c r="O12" s="213">
        <f t="shared" si="2"/>
        <v>371014</v>
      </c>
      <c r="P12" s="213">
        <f t="shared" si="2"/>
        <v>371015</v>
      </c>
      <c r="Q12" s="215">
        <v>0</v>
      </c>
      <c r="R12" s="216">
        <f t="shared" si="1"/>
        <v>2546899</v>
      </c>
    </row>
    <row r="13" spans="1:19" s="38" customFormat="1" ht="14.25" customHeight="1">
      <c r="A13" s="211"/>
      <c r="B13" s="212" t="s">
        <v>161</v>
      </c>
      <c r="C13" s="109" t="s">
        <v>84</v>
      </c>
      <c r="D13" s="109" t="s">
        <v>84</v>
      </c>
      <c r="E13" s="109" t="s">
        <v>84</v>
      </c>
      <c r="F13" s="109"/>
      <c r="G13" s="109"/>
      <c r="H13" s="109"/>
      <c r="I13" s="213">
        <f aca="true" t="shared" si="3" ref="I13:P14">I14</f>
        <v>188861969</v>
      </c>
      <c r="J13" s="214">
        <f t="shared" si="3"/>
        <v>16649736</v>
      </c>
      <c r="K13" s="214">
        <f t="shared" si="3"/>
        <v>-529718</v>
      </c>
      <c r="L13" s="214">
        <f t="shared" si="3"/>
        <v>15721018</v>
      </c>
      <c r="M13" s="213">
        <f t="shared" si="3"/>
        <v>79411271</v>
      </c>
      <c r="N13" s="213">
        <f t="shared" si="3"/>
        <v>43791261</v>
      </c>
      <c r="O13" s="213">
        <f t="shared" si="3"/>
        <v>13540000</v>
      </c>
      <c r="P13" s="213">
        <f t="shared" si="3"/>
        <v>29000000</v>
      </c>
      <c r="Q13" s="215">
        <v>0</v>
      </c>
      <c r="R13" s="216">
        <f t="shared" si="1"/>
        <v>181463550</v>
      </c>
      <c r="S13" s="39"/>
    </row>
    <row r="14" spans="1:18" s="40" customFormat="1" ht="30.75" customHeight="1">
      <c r="A14" s="217" t="s">
        <v>162</v>
      </c>
      <c r="B14" s="218" t="s">
        <v>255</v>
      </c>
      <c r="C14" s="219" t="s">
        <v>84</v>
      </c>
      <c r="D14" s="219" t="s">
        <v>84</v>
      </c>
      <c r="E14" s="219" t="s">
        <v>84</v>
      </c>
      <c r="F14" s="219"/>
      <c r="G14" s="219"/>
      <c r="H14" s="219"/>
      <c r="I14" s="220">
        <f>I15</f>
        <v>188861969</v>
      </c>
      <c r="J14" s="221">
        <f t="shared" si="3"/>
        <v>16649736</v>
      </c>
      <c r="K14" s="352">
        <f t="shared" si="3"/>
        <v>-529718</v>
      </c>
      <c r="L14" s="221">
        <f t="shared" si="3"/>
        <v>15721018</v>
      </c>
      <c r="M14" s="220">
        <f t="shared" si="3"/>
        <v>79411271</v>
      </c>
      <c r="N14" s="220">
        <f t="shared" si="3"/>
        <v>43791261</v>
      </c>
      <c r="O14" s="222">
        <f>O15</f>
        <v>13540000</v>
      </c>
      <c r="P14" s="222">
        <f>P15</f>
        <v>29000000</v>
      </c>
      <c r="Q14" s="220">
        <f>Q15</f>
        <v>0</v>
      </c>
      <c r="R14" s="223">
        <f>SUM(L14:P14)</f>
        <v>181463550</v>
      </c>
    </row>
    <row r="15" spans="1:22" s="38" customFormat="1" ht="15.75">
      <c r="A15" s="211"/>
      <c r="B15" s="212" t="s">
        <v>161</v>
      </c>
      <c r="C15" s="109" t="s">
        <v>84</v>
      </c>
      <c r="D15" s="109" t="s">
        <v>84</v>
      </c>
      <c r="E15" s="109" t="s">
        <v>84</v>
      </c>
      <c r="F15" s="109"/>
      <c r="G15" s="109"/>
      <c r="H15" s="109"/>
      <c r="I15" s="213">
        <f aca="true" t="shared" si="4" ref="I15:R15">I17+I66</f>
        <v>188861969</v>
      </c>
      <c r="J15" s="213">
        <f t="shared" si="4"/>
        <v>16649736</v>
      </c>
      <c r="K15" s="213">
        <f t="shared" si="4"/>
        <v>-529718</v>
      </c>
      <c r="L15" s="213">
        <f t="shared" si="4"/>
        <v>15721018</v>
      </c>
      <c r="M15" s="213">
        <f t="shared" si="4"/>
        <v>79411271</v>
      </c>
      <c r="N15" s="213">
        <f t="shared" si="4"/>
        <v>43791261</v>
      </c>
      <c r="O15" s="213">
        <f t="shared" si="4"/>
        <v>13540000</v>
      </c>
      <c r="P15" s="213">
        <f t="shared" si="4"/>
        <v>29000000</v>
      </c>
      <c r="Q15" s="213">
        <f t="shared" si="4"/>
        <v>0</v>
      </c>
      <c r="R15" s="213">
        <f t="shared" si="4"/>
        <v>181463550</v>
      </c>
      <c r="S15" s="473" t="e">
        <f>S18+S66</f>
        <v>#REF!</v>
      </c>
      <c r="T15" s="41"/>
      <c r="U15" s="41"/>
      <c r="V15" s="41"/>
    </row>
    <row r="16" spans="1:29" s="44" customFormat="1" ht="55.5" customHeight="1">
      <c r="A16" s="217" t="s">
        <v>163</v>
      </c>
      <c r="B16" s="480" t="s">
        <v>164</v>
      </c>
      <c r="C16" s="219" t="s">
        <v>84</v>
      </c>
      <c r="D16" s="219" t="s">
        <v>84</v>
      </c>
      <c r="E16" s="219" t="s">
        <v>84</v>
      </c>
      <c r="F16" s="219"/>
      <c r="G16" s="219"/>
      <c r="H16" s="219"/>
      <c r="I16" s="220">
        <f aca="true" t="shared" si="5" ref="I16:P16">I17</f>
        <v>176234437</v>
      </c>
      <c r="J16" s="221">
        <f t="shared" si="5"/>
        <v>15449536</v>
      </c>
      <c r="K16" s="352">
        <f t="shared" si="5"/>
        <v>-529718</v>
      </c>
      <c r="L16" s="221">
        <f t="shared" si="5"/>
        <v>14919818</v>
      </c>
      <c r="M16" s="220">
        <f t="shared" si="5"/>
        <v>70931271</v>
      </c>
      <c r="N16" s="220">
        <f t="shared" si="5"/>
        <v>40791261</v>
      </c>
      <c r="O16" s="220">
        <f t="shared" si="5"/>
        <v>13540000</v>
      </c>
      <c r="P16" s="220">
        <f t="shared" si="5"/>
        <v>29000000</v>
      </c>
      <c r="Q16" s="219">
        <v>0</v>
      </c>
      <c r="R16" s="223">
        <f t="shared" si="1"/>
        <v>169182350</v>
      </c>
      <c r="S16" s="42"/>
      <c r="T16" s="42"/>
      <c r="U16" s="42"/>
      <c r="V16" s="42"/>
      <c r="W16" s="43"/>
      <c r="X16" s="43"/>
      <c r="Y16" s="43"/>
      <c r="Z16" s="43"/>
      <c r="AA16" s="43"/>
      <c r="AB16" s="43"/>
      <c r="AC16" s="43"/>
    </row>
    <row r="17" spans="1:18" s="38" customFormat="1" ht="15.75">
      <c r="A17" s="211"/>
      <c r="B17" s="212" t="s">
        <v>161</v>
      </c>
      <c r="C17" s="109" t="s">
        <v>84</v>
      </c>
      <c r="D17" s="109" t="s">
        <v>84</v>
      </c>
      <c r="E17" s="109" t="s">
        <v>84</v>
      </c>
      <c r="F17" s="109"/>
      <c r="G17" s="109"/>
      <c r="H17" s="109"/>
      <c r="I17" s="213">
        <f aca="true" t="shared" si="6" ref="I17:R17">I18+I30+I54</f>
        <v>176234437</v>
      </c>
      <c r="J17" s="214">
        <f t="shared" si="6"/>
        <v>15449536</v>
      </c>
      <c r="K17" s="214">
        <f t="shared" si="6"/>
        <v>-529718</v>
      </c>
      <c r="L17" s="214">
        <f t="shared" si="6"/>
        <v>14919818</v>
      </c>
      <c r="M17" s="213">
        <f t="shared" si="6"/>
        <v>70931271</v>
      </c>
      <c r="N17" s="213">
        <f t="shared" si="6"/>
        <v>40791261</v>
      </c>
      <c r="O17" s="213">
        <f t="shared" si="6"/>
        <v>13540000</v>
      </c>
      <c r="P17" s="213">
        <f t="shared" si="6"/>
        <v>29000000</v>
      </c>
      <c r="Q17" s="213">
        <f t="shared" si="6"/>
        <v>0</v>
      </c>
      <c r="R17" s="224">
        <f t="shared" si="6"/>
        <v>169182350</v>
      </c>
    </row>
    <row r="18" spans="1:19" s="45" customFormat="1" ht="30.75" customHeight="1">
      <c r="A18" s="225" t="s">
        <v>165</v>
      </c>
      <c r="B18" s="226" t="s">
        <v>166</v>
      </c>
      <c r="C18" s="227" t="s">
        <v>167</v>
      </c>
      <c r="D18" s="228">
        <v>2004</v>
      </c>
      <c r="E18" s="228">
        <v>2013</v>
      </c>
      <c r="F18" s="639" t="s">
        <v>254</v>
      </c>
      <c r="G18" s="639"/>
      <c r="H18" s="639"/>
      <c r="I18" s="229">
        <f>I24+I19+I28+I29</f>
        <v>67128060</v>
      </c>
      <c r="J18" s="229">
        <f aca="true" t="shared" si="7" ref="J18:R18">J24+J19+J28+J29</f>
        <v>7566743</v>
      </c>
      <c r="K18" s="229">
        <f t="shared" si="7"/>
        <v>402000</v>
      </c>
      <c r="L18" s="229">
        <f t="shared" si="7"/>
        <v>7968743</v>
      </c>
      <c r="M18" s="229">
        <f t="shared" si="7"/>
        <v>39960031</v>
      </c>
      <c r="N18" s="229">
        <f t="shared" si="7"/>
        <v>14606261</v>
      </c>
      <c r="O18" s="229">
        <f t="shared" si="7"/>
        <v>0</v>
      </c>
      <c r="P18" s="229">
        <f t="shared" si="7"/>
        <v>0</v>
      </c>
      <c r="Q18" s="229">
        <f t="shared" si="7"/>
        <v>0</v>
      </c>
      <c r="R18" s="229">
        <f t="shared" si="7"/>
        <v>62535035</v>
      </c>
      <c r="S18" s="472">
        <f>SUM(L17:P17)</f>
        <v>169182350</v>
      </c>
    </row>
    <row r="19" spans="1:18" s="19" customFormat="1" ht="15.75" customHeight="1">
      <c r="A19" s="274" t="s">
        <v>168</v>
      </c>
      <c r="B19" s="635" t="s">
        <v>169</v>
      </c>
      <c r="C19" s="231" t="s">
        <v>170</v>
      </c>
      <c r="D19" s="270">
        <v>2004</v>
      </c>
      <c r="E19" s="270">
        <v>2013</v>
      </c>
      <c r="F19" s="640" t="s">
        <v>171</v>
      </c>
      <c r="G19" s="640"/>
      <c r="H19" s="640"/>
      <c r="I19" s="233">
        <f aca="true" t="shared" si="8" ref="I19:N19">SUM(I20:I22)</f>
        <v>35458951</v>
      </c>
      <c r="J19" s="214">
        <f t="shared" si="8"/>
        <v>4733123</v>
      </c>
      <c r="K19" s="214">
        <f t="shared" si="8"/>
        <v>0</v>
      </c>
      <c r="L19" s="214">
        <f t="shared" si="8"/>
        <v>4733123</v>
      </c>
      <c r="M19" s="233">
        <f t="shared" si="8"/>
        <v>24551540</v>
      </c>
      <c r="N19" s="233">
        <f t="shared" si="8"/>
        <v>4351261</v>
      </c>
      <c r="O19" s="350">
        <v>0</v>
      </c>
      <c r="P19" s="232">
        <v>0</v>
      </c>
      <c r="Q19" s="232">
        <v>0</v>
      </c>
      <c r="R19" s="216">
        <f>SUM(L19:P19)</f>
        <v>33635924</v>
      </c>
    </row>
    <row r="20" spans="1:18" s="19" customFormat="1" ht="12.75">
      <c r="A20" s="284"/>
      <c r="B20" s="636"/>
      <c r="C20" s="484"/>
      <c r="D20" s="484"/>
      <c r="E20" s="484"/>
      <c r="F20" s="234" t="s">
        <v>172</v>
      </c>
      <c r="G20" s="234" t="s">
        <v>173</v>
      </c>
      <c r="H20" s="234">
        <v>6050</v>
      </c>
      <c r="I20" s="235">
        <v>4898951</v>
      </c>
      <c r="J20" s="236">
        <v>946123</v>
      </c>
      <c r="K20" s="236"/>
      <c r="L20" s="236">
        <f>J20+K20</f>
        <v>946123</v>
      </c>
      <c r="M20" s="235">
        <v>2139000</v>
      </c>
      <c r="N20" s="237"/>
      <c r="O20" s="238"/>
      <c r="P20" s="238"/>
      <c r="Q20" s="238"/>
      <c r="R20" s="239">
        <f>SUM(L20:P20)</f>
        <v>3085123</v>
      </c>
    </row>
    <row r="21" spans="1:18" s="19" customFormat="1" ht="12.75">
      <c r="A21" s="284"/>
      <c r="B21" s="510"/>
      <c r="C21" s="484"/>
      <c r="D21" s="484"/>
      <c r="E21" s="484"/>
      <c r="F21" s="240"/>
      <c r="G21" s="240"/>
      <c r="H21" s="240">
        <v>6058</v>
      </c>
      <c r="I21" s="241">
        <f>SUM(L21:N21)</f>
        <v>21555500</v>
      </c>
      <c r="J21" s="242"/>
      <c r="K21" s="242"/>
      <c r="L21" s="242">
        <f>J21+K21</f>
        <v>0</v>
      </c>
      <c r="M21" s="241">
        <v>17722999</v>
      </c>
      <c r="N21" s="243">
        <v>3832501</v>
      </c>
      <c r="O21" s="244"/>
      <c r="P21" s="244"/>
      <c r="Q21" s="244"/>
      <c r="R21" s="245">
        <f>SUM(L21:P21)</f>
        <v>21555500</v>
      </c>
    </row>
    <row r="22" spans="1:18" s="19" customFormat="1" ht="12.75">
      <c r="A22" s="485"/>
      <c r="B22" s="511"/>
      <c r="C22" s="487"/>
      <c r="D22" s="487"/>
      <c r="E22" s="487"/>
      <c r="F22" s="246"/>
      <c r="G22" s="246"/>
      <c r="H22" s="246">
        <v>6059</v>
      </c>
      <c r="I22" s="247">
        <v>9004500</v>
      </c>
      <c r="J22" s="248">
        <v>3787000</v>
      </c>
      <c r="K22" s="248"/>
      <c r="L22" s="248">
        <f>J22+K22</f>
        <v>3787000</v>
      </c>
      <c r="M22" s="247">
        <v>4689541</v>
      </c>
      <c r="N22" s="249">
        <v>518760</v>
      </c>
      <c r="O22" s="250"/>
      <c r="P22" s="250"/>
      <c r="Q22" s="250"/>
      <c r="R22" s="251">
        <f>SUM(L22:P22)</f>
        <v>8995301</v>
      </c>
    </row>
    <row r="23" spans="1:18" s="19" customFormat="1" ht="9" customHeight="1">
      <c r="A23" s="230"/>
      <c r="B23" s="512"/>
      <c r="C23" s="231"/>
      <c r="D23" s="253"/>
      <c r="E23" s="253"/>
      <c r="F23" s="254"/>
      <c r="G23" s="255"/>
      <c r="H23" s="256"/>
      <c r="I23" s="61"/>
      <c r="J23" s="257"/>
      <c r="K23" s="257"/>
      <c r="L23" s="257"/>
      <c r="M23" s="61"/>
      <c r="N23" s="233"/>
      <c r="O23" s="350"/>
      <c r="P23" s="232"/>
      <c r="Q23" s="232"/>
      <c r="R23" s="216">
        <f>SUM(J23:P23)</f>
        <v>0</v>
      </c>
    </row>
    <row r="24" spans="1:18" s="19" customFormat="1" ht="14.25" customHeight="1">
      <c r="A24" s="274" t="s">
        <v>174</v>
      </c>
      <c r="B24" s="635" t="s">
        <v>175</v>
      </c>
      <c r="C24" s="481" t="s">
        <v>170</v>
      </c>
      <c r="D24" s="481">
        <v>2004</v>
      </c>
      <c r="E24" s="481">
        <v>2013</v>
      </c>
      <c r="F24" s="637" t="s">
        <v>171</v>
      </c>
      <c r="G24" s="637"/>
      <c r="H24" s="637"/>
      <c r="I24" s="233">
        <f>SUM(I25:I27)</f>
        <v>29569109</v>
      </c>
      <c r="J24" s="214">
        <f>SUM(J25:J27)</f>
        <v>2833620</v>
      </c>
      <c r="K24" s="214">
        <f>SUM(K25:K27)</f>
        <v>0</v>
      </c>
      <c r="L24" s="214">
        <f aca="true" t="shared" si="9" ref="L24:L29">J24+K24</f>
        <v>2833620</v>
      </c>
      <c r="M24" s="233">
        <f>SUM(M25:M27)</f>
        <v>13710491</v>
      </c>
      <c r="N24" s="233">
        <f>SUM(N25:N27)</f>
        <v>10255000</v>
      </c>
      <c r="O24" s="350">
        <v>0</v>
      </c>
      <c r="P24" s="232">
        <v>0</v>
      </c>
      <c r="Q24" s="232">
        <v>0</v>
      </c>
      <c r="R24" s="216">
        <f aca="true" t="shared" si="10" ref="R24:R29">SUM(L24:P24)</f>
        <v>26799111</v>
      </c>
    </row>
    <row r="25" spans="1:18" s="19" customFormat="1" ht="12.75">
      <c r="A25" s="284"/>
      <c r="B25" s="636"/>
      <c r="C25" s="484"/>
      <c r="D25" s="484"/>
      <c r="E25" s="484"/>
      <c r="F25" s="234" t="s">
        <v>172</v>
      </c>
      <c r="G25" s="234" t="s">
        <v>173</v>
      </c>
      <c r="H25" s="234">
        <v>6050</v>
      </c>
      <c r="I25" s="235">
        <v>5650314</v>
      </c>
      <c r="J25" s="236">
        <v>2181315</v>
      </c>
      <c r="K25" s="236"/>
      <c r="L25" s="258">
        <f t="shared" si="9"/>
        <v>2181315</v>
      </c>
      <c r="M25" s="235">
        <v>699001</v>
      </c>
      <c r="N25" s="237"/>
      <c r="O25" s="238"/>
      <c r="P25" s="238"/>
      <c r="Q25" s="238"/>
      <c r="R25" s="239">
        <f t="shared" si="10"/>
        <v>2880316</v>
      </c>
    </row>
    <row r="26" spans="1:18" s="19" customFormat="1" ht="12.75">
      <c r="A26" s="284"/>
      <c r="B26" s="513"/>
      <c r="C26" s="484"/>
      <c r="D26" s="484"/>
      <c r="E26" s="484"/>
      <c r="F26" s="240"/>
      <c r="G26" s="240"/>
      <c r="H26" s="240">
        <v>6058</v>
      </c>
      <c r="I26" s="241">
        <f>SUM(L26:N26)</f>
        <v>19711490</v>
      </c>
      <c r="J26" s="242">
        <v>0</v>
      </c>
      <c r="K26" s="242"/>
      <c r="L26" s="259">
        <f t="shared" si="9"/>
        <v>0</v>
      </c>
      <c r="M26" s="241">
        <v>10576490</v>
      </c>
      <c r="N26" s="243">
        <v>9135000</v>
      </c>
      <c r="O26" s="244"/>
      <c r="P26" s="244"/>
      <c r="Q26" s="244"/>
      <c r="R26" s="245">
        <f t="shared" si="10"/>
        <v>19711490</v>
      </c>
    </row>
    <row r="27" spans="1:18" s="19" customFormat="1" ht="15.75">
      <c r="A27" s="485"/>
      <c r="B27" s="511"/>
      <c r="C27" s="488"/>
      <c r="D27" s="488"/>
      <c r="E27" s="487"/>
      <c r="F27" s="246"/>
      <c r="G27" s="246"/>
      <c r="H27" s="246">
        <v>6059</v>
      </c>
      <c r="I27" s="247">
        <f>SUM(L27:N27)</f>
        <v>4207305</v>
      </c>
      <c r="J27" s="248">
        <v>652305</v>
      </c>
      <c r="K27" s="248"/>
      <c r="L27" s="260">
        <f t="shared" si="9"/>
        <v>652305</v>
      </c>
      <c r="M27" s="247">
        <v>2435000</v>
      </c>
      <c r="N27" s="249">
        <v>1120000</v>
      </c>
      <c r="O27" s="250"/>
      <c r="P27" s="250"/>
      <c r="Q27" s="250"/>
      <c r="R27" s="251">
        <f t="shared" si="10"/>
        <v>4207305</v>
      </c>
    </row>
    <row r="28" spans="1:18" s="19" customFormat="1" ht="24">
      <c r="A28" s="485" t="s">
        <v>262</v>
      </c>
      <c r="B28" s="514" t="s">
        <v>201</v>
      </c>
      <c r="C28" s="518" t="s">
        <v>170</v>
      </c>
      <c r="D28" s="487">
        <v>2011</v>
      </c>
      <c r="E28" s="487">
        <v>2012</v>
      </c>
      <c r="F28" s="487">
        <v>900</v>
      </c>
      <c r="G28" s="487">
        <v>90001</v>
      </c>
      <c r="H28" s="487">
        <v>6050</v>
      </c>
      <c r="I28" s="506">
        <f>R28</f>
        <v>2000000</v>
      </c>
      <c r="J28" s="507"/>
      <c r="K28" s="507">
        <v>400000</v>
      </c>
      <c r="L28" s="260">
        <f t="shared" si="9"/>
        <v>400000</v>
      </c>
      <c r="M28" s="506">
        <v>1600000</v>
      </c>
      <c r="N28" s="508"/>
      <c r="O28" s="509"/>
      <c r="P28" s="509"/>
      <c r="Q28" s="509"/>
      <c r="R28" s="251">
        <f t="shared" si="10"/>
        <v>2000000</v>
      </c>
    </row>
    <row r="29" spans="1:18" s="19" customFormat="1" ht="26.25" customHeight="1">
      <c r="A29" s="485" t="s">
        <v>263</v>
      </c>
      <c r="B29" s="515" t="s">
        <v>264</v>
      </c>
      <c r="C29" s="518" t="s">
        <v>170</v>
      </c>
      <c r="D29" s="487">
        <v>2011</v>
      </c>
      <c r="E29" s="487">
        <v>2012</v>
      </c>
      <c r="F29" s="487">
        <v>900</v>
      </c>
      <c r="G29" s="487">
        <v>90001</v>
      </c>
      <c r="H29" s="487">
        <v>6050</v>
      </c>
      <c r="I29" s="506">
        <f>R29</f>
        <v>100000</v>
      </c>
      <c r="J29" s="507"/>
      <c r="K29" s="507">
        <v>2000</v>
      </c>
      <c r="L29" s="260">
        <f t="shared" si="9"/>
        <v>2000</v>
      </c>
      <c r="M29" s="506">
        <v>98000</v>
      </c>
      <c r="N29" s="508"/>
      <c r="O29" s="509"/>
      <c r="P29" s="509"/>
      <c r="Q29" s="509"/>
      <c r="R29" s="251">
        <f t="shared" si="10"/>
        <v>100000</v>
      </c>
    </row>
    <row r="30" spans="1:20" s="40" customFormat="1" ht="21" customHeight="1">
      <c r="A30" s="261" t="s">
        <v>176</v>
      </c>
      <c r="B30" s="262" t="s">
        <v>177</v>
      </c>
      <c r="C30" s="474" t="s">
        <v>167</v>
      </c>
      <c r="D30" s="474">
        <v>2009</v>
      </c>
      <c r="E30" s="474">
        <v>2014</v>
      </c>
      <c r="F30" s="634" t="s">
        <v>254</v>
      </c>
      <c r="G30" s="634"/>
      <c r="H30" s="634"/>
      <c r="I30" s="263">
        <f>SUM(I34+I38+I41+I45+I31+I48+I52+I53+I37)</f>
        <v>13456640</v>
      </c>
      <c r="J30" s="263">
        <f>SUM(J34+J38+J41+J45+J31+J48+J52+J53)</f>
        <v>317560</v>
      </c>
      <c r="K30" s="263">
        <f>SUM(K34+K38+K41+K45+K31+K48+K52+K53+K37)</f>
        <v>2000</v>
      </c>
      <c r="L30" s="263">
        <f aca="true" t="shared" si="11" ref="L30:R30">SUM(L34+L38+L41+L45+L31+L48+L52+L53+L37)</f>
        <v>319560</v>
      </c>
      <c r="M30" s="263">
        <f t="shared" si="11"/>
        <v>3284240</v>
      </c>
      <c r="N30" s="263">
        <f t="shared" si="11"/>
        <v>7625000</v>
      </c>
      <c r="O30" s="263">
        <f t="shared" si="11"/>
        <v>2140000</v>
      </c>
      <c r="P30" s="263">
        <f t="shared" si="11"/>
        <v>0</v>
      </c>
      <c r="Q30" s="263">
        <f t="shared" si="11"/>
        <v>0</v>
      </c>
      <c r="R30" s="263">
        <f t="shared" si="11"/>
        <v>13368800</v>
      </c>
      <c r="S30" s="46" t="e">
        <f>S34+S38+S41+S45+S31+S48+#REF!</f>
        <v>#REF!</v>
      </c>
      <c r="T30" s="46" t="e">
        <f>S30-R30</f>
        <v>#REF!</v>
      </c>
    </row>
    <row r="31" spans="1:20" s="40" customFormat="1" ht="15" customHeight="1">
      <c r="A31" s="274" t="s">
        <v>178</v>
      </c>
      <c r="B31" s="630" t="s">
        <v>243</v>
      </c>
      <c r="C31" s="476" t="s">
        <v>180</v>
      </c>
      <c r="D31" s="476">
        <v>2010</v>
      </c>
      <c r="E31" s="476">
        <v>2012</v>
      </c>
      <c r="F31" s="629" t="s">
        <v>171</v>
      </c>
      <c r="G31" s="629"/>
      <c r="H31" s="629"/>
      <c r="I31" s="265">
        <f aca="true" t="shared" si="12" ref="I31:N31">SUM(I32:I33)</f>
        <v>1370070</v>
      </c>
      <c r="J31" s="257">
        <f t="shared" si="12"/>
        <v>65190</v>
      </c>
      <c r="K31" s="257">
        <f t="shared" si="12"/>
        <v>0</v>
      </c>
      <c r="L31" s="257">
        <f t="shared" si="12"/>
        <v>65190</v>
      </c>
      <c r="M31" s="265">
        <f t="shared" si="12"/>
        <v>1300000</v>
      </c>
      <c r="N31" s="265">
        <f t="shared" si="12"/>
        <v>0</v>
      </c>
      <c r="O31" s="266">
        <v>0</v>
      </c>
      <c r="P31" s="266">
        <v>0</v>
      </c>
      <c r="Q31" s="266">
        <v>0</v>
      </c>
      <c r="R31" s="267">
        <f aca="true" t="shared" si="13" ref="R31:R41">SUM(L31:P31)</f>
        <v>1365190</v>
      </c>
      <c r="S31" s="46">
        <f>R32+R33</f>
        <v>1365190</v>
      </c>
      <c r="T31" s="46">
        <f>L30+M30+N30+O30+P30</f>
        <v>13368800</v>
      </c>
    </row>
    <row r="32" spans="1:19" s="40" customFormat="1" ht="15" customHeight="1">
      <c r="A32" s="284"/>
      <c r="B32" s="631"/>
      <c r="C32" s="231"/>
      <c r="D32" s="231"/>
      <c r="E32" s="231"/>
      <c r="F32" s="234">
        <v>852</v>
      </c>
      <c r="G32" s="234">
        <v>85219</v>
      </c>
      <c r="H32" s="234">
        <v>6058</v>
      </c>
      <c r="I32" s="235">
        <f>SUM(L32:N32)</f>
        <v>500000</v>
      </c>
      <c r="J32" s="236"/>
      <c r="K32" s="236"/>
      <c r="L32" s="258">
        <f>J32+K32</f>
        <v>0</v>
      </c>
      <c r="M32" s="235">
        <v>500000</v>
      </c>
      <c r="N32" s="238"/>
      <c r="O32" s="238"/>
      <c r="P32" s="238"/>
      <c r="Q32" s="238"/>
      <c r="R32" s="239">
        <f t="shared" si="13"/>
        <v>500000</v>
      </c>
      <c r="S32" s="46"/>
    </row>
    <row r="33" spans="1:19" s="40" customFormat="1" ht="15" customHeight="1">
      <c r="A33" s="485"/>
      <c r="B33" s="486"/>
      <c r="C33" s="487"/>
      <c r="D33" s="487"/>
      <c r="E33" s="487"/>
      <c r="F33" s="246"/>
      <c r="G33" s="246"/>
      <c r="H33" s="246">
        <v>6059</v>
      </c>
      <c r="I33" s="247">
        <f>L33+M33+4880</f>
        <v>870070</v>
      </c>
      <c r="J33" s="248">
        <v>65190</v>
      </c>
      <c r="K33" s="248"/>
      <c r="L33" s="260">
        <f>J33+K33</f>
        <v>65190</v>
      </c>
      <c r="M33" s="247">
        <v>800000</v>
      </c>
      <c r="N33" s="250"/>
      <c r="O33" s="250"/>
      <c r="P33" s="250"/>
      <c r="Q33" s="250"/>
      <c r="R33" s="251">
        <f t="shared" si="13"/>
        <v>865190</v>
      </c>
      <c r="S33" s="46"/>
    </row>
    <row r="34" spans="1:19" s="19" customFormat="1" ht="12.75" customHeight="1">
      <c r="A34" s="274" t="s">
        <v>181</v>
      </c>
      <c r="B34" s="630" t="s">
        <v>179</v>
      </c>
      <c r="C34" s="482" t="s">
        <v>180</v>
      </c>
      <c r="D34" s="482">
        <v>2010</v>
      </c>
      <c r="E34" s="482">
        <v>2014</v>
      </c>
      <c r="F34" s="629" t="s">
        <v>171</v>
      </c>
      <c r="G34" s="629"/>
      <c r="H34" s="629"/>
      <c r="I34" s="265">
        <f aca="true" t="shared" si="14" ref="I34:O34">SUM(I35:I36)</f>
        <v>1500000</v>
      </c>
      <c r="J34" s="257">
        <f t="shared" si="14"/>
        <v>75000</v>
      </c>
      <c r="K34" s="257">
        <f t="shared" si="14"/>
        <v>0</v>
      </c>
      <c r="L34" s="257">
        <f t="shared" si="14"/>
        <v>75000</v>
      </c>
      <c r="M34" s="265">
        <f t="shared" si="14"/>
        <v>145120</v>
      </c>
      <c r="N34" s="265">
        <f t="shared" si="14"/>
        <v>1075000</v>
      </c>
      <c r="O34" s="265">
        <f t="shared" si="14"/>
        <v>200000</v>
      </c>
      <c r="P34" s="266">
        <v>0</v>
      </c>
      <c r="Q34" s="266">
        <v>0</v>
      </c>
      <c r="R34" s="267">
        <f t="shared" si="13"/>
        <v>1495120</v>
      </c>
      <c r="S34" s="30">
        <f>R35+R36</f>
        <v>1495120</v>
      </c>
    </row>
    <row r="35" spans="1:18" s="19" customFormat="1" ht="12.75">
      <c r="A35" s="284"/>
      <c r="B35" s="633"/>
      <c r="C35" s="484"/>
      <c r="D35" s="484"/>
      <c r="E35" s="484"/>
      <c r="F35" s="234">
        <v>921</v>
      </c>
      <c r="G35" s="234">
        <v>92109</v>
      </c>
      <c r="H35" s="234">
        <v>6058</v>
      </c>
      <c r="I35" s="235">
        <f>SUM(L35:N35)</f>
        <v>500000</v>
      </c>
      <c r="J35" s="236"/>
      <c r="K35" s="236"/>
      <c r="L35" s="258">
        <f aca="true" t="shared" si="15" ref="L35:L47">J35+K35</f>
        <v>0</v>
      </c>
      <c r="M35" s="235"/>
      <c r="N35" s="238">
        <v>500000</v>
      </c>
      <c r="O35" s="238"/>
      <c r="P35" s="238"/>
      <c r="Q35" s="238"/>
      <c r="R35" s="239">
        <f t="shared" si="13"/>
        <v>500000</v>
      </c>
    </row>
    <row r="36" spans="1:18" s="19" customFormat="1" ht="12.75">
      <c r="A36" s="485"/>
      <c r="B36" s="486"/>
      <c r="C36" s="487"/>
      <c r="D36" s="487"/>
      <c r="E36" s="487"/>
      <c r="F36" s="246"/>
      <c r="G36" s="246"/>
      <c r="H36" s="246">
        <v>6059</v>
      </c>
      <c r="I36" s="247">
        <f>SUM(L36:O36)+4880</f>
        <v>1000000</v>
      </c>
      <c r="J36" s="248">
        <v>75000</v>
      </c>
      <c r="K36" s="248"/>
      <c r="L36" s="260">
        <f t="shared" si="15"/>
        <v>75000</v>
      </c>
      <c r="M36" s="247">
        <v>145120</v>
      </c>
      <c r="N36" s="250">
        <v>575000</v>
      </c>
      <c r="O36" s="249">
        <v>200000</v>
      </c>
      <c r="P36" s="250"/>
      <c r="Q36" s="250"/>
      <c r="R36" s="251">
        <f>SUM(L36:P36)</f>
        <v>995120</v>
      </c>
    </row>
    <row r="37" spans="1:18" s="19" customFormat="1" ht="38.25">
      <c r="A37" s="230" t="s">
        <v>183</v>
      </c>
      <c r="B37" s="522" t="s">
        <v>270</v>
      </c>
      <c r="C37" s="518" t="s">
        <v>180</v>
      </c>
      <c r="D37" s="518">
        <v>2011</v>
      </c>
      <c r="E37" s="518">
        <v>2012</v>
      </c>
      <c r="F37" s="518">
        <v>900</v>
      </c>
      <c r="G37" s="518">
        <v>90015</v>
      </c>
      <c r="H37" s="518">
        <v>6050</v>
      </c>
      <c r="I37" s="61">
        <v>10000</v>
      </c>
      <c r="J37" s="257"/>
      <c r="K37" s="257">
        <v>1000</v>
      </c>
      <c r="L37" s="257">
        <f>J37+K37</f>
        <v>1000</v>
      </c>
      <c r="M37" s="61">
        <v>9000</v>
      </c>
      <c r="N37" s="233"/>
      <c r="O37" s="517">
        <v>0</v>
      </c>
      <c r="P37" s="517">
        <v>0</v>
      </c>
      <c r="Q37" s="517">
        <v>0</v>
      </c>
      <c r="R37" s="216">
        <f>SUM(L37:P37)</f>
        <v>10000</v>
      </c>
    </row>
    <row r="38" spans="1:19" s="19" customFormat="1" ht="14.25" customHeight="1">
      <c r="A38" s="274" t="s">
        <v>185</v>
      </c>
      <c r="B38" s="252" t="s">
        <v>182</v>
      </c>
      <c r="C38" s="482" t="s">
        <v>180</v>
      </c>
      <c r="D38" s="482">
        <v>2010</v>
      </c>
      <c r="E38" s="482">
        <v>2014</v>
      </c>
      <c r="F38" s="629" t="s">
        <v>171</v>
      </c>
      <c r="G38" s="629"/>
      <c r="H38" s="629"/>
      <c r="I38" s="265">
        <f>I40+I39</f>
        <v>3170000</v>
      </c>
      <c r="J38" s="257">
        <f aca="true" t="shared" si="16" ref="J38:O38">SUM(J39:J40)</f>
        <v>5000</v>
      </c>
      <c r="K38" s="257">
        <f t="shared" si="16"/>
        <v>0</v>
      </c>
      <c r="L38" s="257">
        <f t="shared" si="16"/>
        <v>5000</v>
      </c>
      <c r="M38" s="265">
        <f t="shared" si="16"/>
        <v>420120</v>
      </c>
      <c r="N38" s="265">
        <f t="shared" si="16"/>
        <v>1300000</v>
      </c>
      <c r="O38" s="265">
        <f t="shared" si="16"/>
        <v>1440000</v>
      </c>
      <c r="P38" s="266">
        <v>0</v>
      </c>
      <c r="Q38" s="266">
        <v>0</v>
      </c>
      <c r="R38" s="267">
        <f t="shared" si="13"/>
        <v>3165120</v>
      </c>
      <c r="S38" s="30">
        <f>R39+R40</f>
        <v>3165120</v>
      </c>
    </row>
    <row r="39" spans="1:18" s="19" customFormat="1" ht="12.75" customHeight="1">
      <c r="A39" s="284"/>
      <c r="B39" s="483"/>
      <c r="C39" s="484"/>
      <c r="D39" s="484"/>
      <c r="E39" s="484"/>
      <c r="F39" s="234">
        <v>921</v>
      </c>
      <c r="G39" s="234">
        <v>92109</v>
      </c>
      <c r="H39" s="234">
        <v>6058</v>
      </c>
      <c r="I39" s="235">
        <f>SUM(L39:N39)</f>
        <v>500000</v>
      </c>
      <c r="J39" s="236"/>
      <c r="K39" s="236"/>
      <c r="L39" s="258">
        <f t="shared" si="15"/>
        <v>0</v>
      </c>
      <c r="M39" s="235">
        <v>0</v>
      </c>
      <c r="N39" s="237">
        <v>500000</v>
      </c>
      <c r="O39" s="238"/>
      <c r="P39" s="238"/>
      <c r="Q39" s="238"/>
      <c r="R39" s="239">
        <f t="shared" si="13"/>
        <v>500000</v>
      </c>
    </row>
    <row r="40" spans="1:18" s="19" customFormat="1" ht="12.75" customHeight="1">
      <c r="A40" s="485"/>
      <c r="B40" s="486"/>
      <c r="C40" s="487"/>
      <c r="D40" s="487"/>
      <c r="E40" s="487"/>
      <c r="F40" s="246"/>
      <c r="G40" s="246"/>
      <c r="H40" s="246">
        <v>6059</v>
      </c>
      <c r="I40" s="247">
        <f>SUM(L40:O40)+4880</f>
        <v>2670000</v>
      </c>
      <c r="J40" s="248">
        <v>5000</v>
      </c>
      <c r="K40" s="248"/>
      <c r="L40" s="260">
        <f t="shared" si="15"/>
        <v>5000</v>
      </c>
      <c r="M40" s="247">
        <v>420120</v>
      </c>
      <c r="N40" s="249">
        <v>800000</v>
      </c>
      <c r="O40" s="249">
        <v>1440000</v>
      </c>
      <c r="P40" s="250"/>
      <c r="Q40" s="250"/>
      <c r="R40" s="251">
        <f t="shared" si="13"/>
        <v>2665120</v>
      </c>
    </row>
    <row r="41" spans="1:19" s="19" customFormat="1" ht="15" customHeight="1">
      <c r="A41" s="274" t="s">
        <v>248</v>
      </c>
      <c r="B41" s="630" t="s">
        <v>184</v>
      </c>
      <c r="C41" s="482" t="s">
        <v>180</v>
      </c>
      <c r="D41" s="482">
        <v>2009</v>
      </c>
      <c r="E41" s="482">
        <v>2014</v>
      </c>
      <c r="F41" s="629" t="s">
        <v>171</v>
      </c>
      <c r="G41" s="629"/>
      <c r="H41" s="629"/>
      <c r="I41" s="265">
        <f>SUM(I42:I44)</f>
        <v>2933220</v>
      </c>
      <c r="J41" s="257">
        <f>SUM(J43:J44)</f>
        <v>64900</v>
      </c>
      <c r="K41" s="257">
        <f>SUM(K43:K44)</f>
        <v>0</v>
      </c>
      <c r="L41" s="214">
        <f t="shared" si="15"/>
        <v>64900</v>
      </c>
      <c r="M41" s="265">
        <f>SUM(M43:M44)</f>
        <v>800000</v>
      </c>
      <c r="N41" s="265">
        <f>SUM(N43:N44)</f>
        <v>1750000</v>
      </c>
      <c r="O41" s="265">
        <f>SUM(O43:O44)</f>
        <v>250000</v>
      </c>
      <c r="P41" s="266">
        <v>0</v>
      </c>
      <c r="Q41" s="266">
        <v>0</v>
      </c>
      <c r="R41" s="267">
        <f t="shared" si="13"/>
        <v>2864900</v>
      </c>
      <c r="S41" s="30">
        <f>R43+R44</f>
        <v>2864900</v>
      </c>
    </row>
    <row r="42" spans="1:18" s="19" customFormat="1" ht="15" customHeight="1">
      <c r="A42" s="284"/>
      <c r="B42" s="631"/>
      <c r="C42" s="484"/>
      <c r="D42" s="484"/>
      <c r="E42" s="484"/>
      <c r="F42" s="294">
        <v>921</v>
      </c>
      <c r="G42" s="294">
        <v>92109</v>
      </c>
      <c r="H42" s="489">
        <v>6050</v>
      </c>
      <c r="I42" s="268">
        <v>68320</v>
      </c>
      <c r="J42" s="269"/>
      <c r="K42" s="269"/>
      <c r="L42" s="214">
        <f t="shared" si="15"/>
        <v>0</v>
      </c>
      <c r="M42" s="268"/>
      <c r="N42" s="268"/>
      <c r="O42" s="270"/>
      <c r="P42" s="270"/>
      <c r="Q42" s="270"/>
      <c r="R42" s="216"/>
    </row>
    <row r="43" spans="1:18" s="19" customFormat="1" ht="12.75">
      <c r="A43" s="284"/>
      <c r="B43" s="631"/>
      <c r="C43" s="484"/>
      <c r="D43" s="484"/>
      <c r="E43" s="484"/>
      <c r="F43" s="234"/>
      <c r="G43" s="234"/>
      <c r="H43" s="234">
        <v>6058</v>
      </c>
      <c r="I43" s="235">
        <f>SUM(L43:N43)</f>
        <v>500000</v>
      </c>
      <c r="J43" s="236"/>
      <c r="K43" s="236"/>
      <c r="L43" s="258">
        <f t="shared" si="15"/>
        <v>0</v>
      </c>
      <c r="M43" s="235">
        <v>500000</v>
      </c>
      <c r="N43" s="237"/>
      <c r="O43" s="238"/>
      <c r="P43" s="238"/>
      <c r="Q43" s="238"/>
      <c r="R43" s="239">
        <f aca="true" t="shared" si="17" ref="R43:R62">SUM(L43:P43)</f>
        <v>500000</v>
      </c>
    </row>
    <row r="44" spans="1:18" s="19" customFormat="1" ht="12" customHeight="1">
      <c r="A44" s="485"/>
      <c r="B44" s="486"/>
      <c r="C44" s="487"/>
      <c r="D44" s="487"/>
      <c r="E44" s="487"/>
      <c r="F44" s="246"/>
      <c r="G44" s="246"/>
      <c r="H44" s="246">
        <v>6059</v>
      </c>
      <c r="I44" s="247">
        <f>SUM(L44:O44)</f>
        <v>2364900</v>
      </c>
      <c r="J44" s="248">
        <v>64900</v>
      </c>
      <c r="K44" s="248"/>
      <c r="L44" s="260">
        <f t="shared" si="15"/>
        <v>64900</v>
      </c>
      <c r="M44" s="247">
        <v>300000</v>
      </c>
      <c r="N44" s="249">
        <v>1750000</v>
      </c>
      <c r="O44" s="249">
        <v>250000</v>
      </c>
      <c r="P44" s="250"/>
      <c r="Q44" s="250"/>
      <c r="R44" s="251">
        <f t="shared" si="17"/>
        <v>2364900</v>
      </c>
    </row>
    <row r="45" spans="1:19" s="19" customFormat="1" ht="12.75" customHeight="1">
      <c r="A45" s="274" t="s">
        <v>252</v>
      </c>
      <c r="B45" s="252" t="s">
        <v>186</v>
      </c>
      <c r="C45" s="482" t="s">
        <v>180</v>
      </c>
      <c r="D45" s="482">
        <v>2010</v>
      </c>
      <c r="E45" s="482">
        <v>2014</v>
      </c>
      <c r="F45" s="629" t="s">
        <v>171</v>
      </c>
      <c r="G45" s="629"/>
      <c r="H45" s="629"/>
      <c r="I45" s="265">
        <f>I46+I47</f>
        <v>1909350</v>
      </c>
      <c r="J45" s="257">
        <f>SUM(J46:J47)</f>
        <v>4470</v>
      </c>
      <c r="K45" s="257">
        <f>SUM(K46:K47)</f>
        <v>0</v>
      </c>
      <c r="L45" s="214">
        <f t="shared" si="15"/>
        <v>4470</v>
      </c>
      <c r="M45" s="265">
        <f>SUM(M46:M47)</f>
        <v>150000</v>
      </c>
      <c r="N45" s="265">
        <f>SUM(N46:N47)</f>
        <v>1500000</v>
      </c>
      <c r="O45" s="265">
        <f>SUM(O46:O47)</f>
        <v>250000</v>
      </c>
      <c r="P45" s="266">
        <v>0</v>
      </c>
      <c r="Q45" s="266">
        <v>0</v>
      </c>
      <c r="R45" s="267">
        <f>SUM(L45:P45)</f>
        <v>1904470</v>
      </c>
      <c r="S45" s="30">
        <f>R46+R47</f>
        <v>1904470</v>
      </c>
    </row>
    <row r="46" spans="1:18" s="19" customFormat="1" ht="12.75">
      <c r="A46" s="284"/>
      <c r="B46" s="483"/>
      <c r="C46" s="484"/>
      <c r="D46" s="484"/>
      <c r="E46" s="484"/>
      <c r="F46" s="294">
        <v>921</v>
      </c>
      <c r="G46" s="294">
        <v>92109</v>
      </c>
      <c r="H46" s="294">
        <v>6058</v>
      </c>
      <c r="I46" s="235">
        <f>N46</f>
        <v>500000</v>
      </c>
      <c r="J46" s="236">
        <v>0</v>
      </c>
      <c r="K46" s="236"/>
      <c r="L46" s="258">
        <f t="shared" si="15"/>
        <v>0</v>
      </c>
      <c r="M46" s="235">
        <v>0</v>
      </c>
      <c r="N46" s="237">
        <v>500000</v>
      </c>
      <c r="O46" s="238"/>
      <c r="P46" s="238"/>
      <c r="Q46" s="238"/>
      <c r="R46" s="239">
        <f t="shared" si="17"/>
        <v>500000</v>
      </c>
    </row>
    <row r="47" spans="1:18" s="19" customFormat="1" ht="12.75">
      <c r="A47" s="485"/>
      <c r="B47" s="486"/>
      <c r="C47" s="487"/>
      <c r="D47" s="487"/>
      <c r="E47" s="487"/>
      <c r="F47" s="246"/>
      <c r="G47" s="246"/>
      <c r="H47" s="246">
        <v>6059</v>
      </c>
      <c r="I47" s="247">
        <f>SUM(L47:O47)+4880</f>
        <v>1409350</v>
      </c>
      <c r="J47" s="248">
        <v>4470</v>
      </c>
      <c r="K47" s="248"/>
      <c r="L47" s="260">
        <f t="shared" si="15"/>
        <v>4470</v>
      </c>
      <c r="M47" s="247">
        <v>150000</v>
      </c>
      <c r="N47" s="249">
        <v>1000000</v>
      </c>
      <c r="O47" s="250">
        <v>250000</v>
      </c>
      <c r="P47" s="250"/>
      <c r="Q47" s="250"/>
      <c r="R47" s="251">
        <f t="shared" si="17"/>
        <v>1404470</v>
      </c>
    </row>
    <row r="48" spans="1:19" s="19" customFormat="1" ht="39" thickBot="1">
      <c r="A48" s="230" t="s">
        <v>253</v>
      </c>
      <c r="B48" s="310" t="s">
        <v>203</v>
      </c>
      <c r="C48" s="498" t="s">
        <v>180</v>
      </c>
      <c r="D48" s="498">
        <v>2011</v>
      </c>
      <c r="E48" s="498">
        <v>2013</v>
      </c>
      <c r="F48" s="498">
        <v>700</v>
      </c>
      <c r="G48" s="498">
        <v>70005</v>
      </c>
      <c r="H48" s="498">
        <v>6050</v>
      </c>
      <c r="I48" s="61">
        <v>2543000</v>
      </c>
      <c r="J48" s="257">
        <v>98000</v>
      </c>
      <c r="K48" s="257"/>
      <c r="L48" s="257">
        <f>J48+K48</f>
        <v>98000</v>
      </c>
      <c r="M48" s="61">
        <v>445000</v>
      </c>
      <c r="N48" s="233">
        <v>2000000</v>
      </c>
      <c r="O48" s="497">
        <v>0</v>
      </c>
      <c r="P48" s="497">
        <v>0</v>
      </c>
      <c r="Q48" s="497">
        <v>0</v>
      </c>
      <c r="R48" s="216">
        <f>SUM(L48:P48)</f>
        <v>2543000</v>
      </c>
      <c r="S48" s="30">
        <f>R48</f>
        <v>2543000</v>
      </c>
    </row>
    <row r="49" spans="1:19" s="19" customFormat="1" ht="12.75">
      <c r="A49" s="615" t="s">
        <v>115</v>
      </c>
      <c r="B49" s="618" t="s">
        <v>148</v>
      </c>
      <c r="C49" s="621" t="s">
        <v>149</v>
      </c>
      <c r="D49" s="624" t="s">
        <v>244</v>
      </c>
      <c r="E49" s="624"/>
      <c r="F49" s="624" t="s">
        <v>150</v>
      </c>
      <c r="G49" s="624"/>
      <c r="H49" s="624"/>
      <c r="I49" s="607" t="s">
        <v>151</v>
      </c>
      <c r="J49" s="607" t="s">
        <v>152</v>
      </c>
      <c r="K49" s="607"/>
      <c r="L49" s="607"/>
      <c r="M49" s="607"/>
      <c r="N49" s="607"/>
      <c r="O49" s="607"/>
      <c r="P49" s="607"/>
      <c r="Q49" s="607"/>
      <c r="R49" s="608" t="s">
        <v>153</v>
      </c>
      <c r="S49" s="30"/>
    </row>
    <row r="50" spans="1:19" s="19" customFormat="1" ht="12.75">
      <c r="A50" s="616"/>
      <c r="B50" s="619"/>
      <c r="C50" s="622"/>
      <c r="D50" s="625"/>
      <c r="E50" s="625"/>
      <c r="F50" s="625"/>
      <c r="G50" s="625"/>
      <c r="H50" s="625"/>
      <c r="I50" s="626"/>
      <c r="J50" s="611">
        <v>2011</v>
      </c>
      <c r="K50" s="611"/>
      <c r="L50" s="612"/>
      <c r="M50" s="613">
        <v>2012</v>
      </c>
      <c r="N50" s="613">
        <v>2013</v>
      </c>
      <c r="O50" s="613">
        <v>2014</v>
      </c>
      <c r="P50" s="613">
        <v>2015</v>
      </c>
      <c r="Q50" s="516">
        <v>2015</v>
      </c>
      <c r="R50" s="609"/>
      <c r="S50" s="30"/>
    </row>
    <row r="51" spans="1:19" s="19" customFormat="1" ht="26.25" thickBot="1">
      <c r="A51" s="617"/>
      <c r="B51" s="620"/>
      <c r="C51" s="623"/>
      <c r="D51" s="495" t="s">
        <v>154</v>
      </c>
      <c r="E51" s="495" t="s">
        <v>155</v>
      </c>
      <c r="F51" s="495" t="s">
        <v>156</v>
      </c>
      <c r="G51" s="495" t="s">
        <v>157</v>
      </c>
      <c r="H51" s="495" t="s">
        <v>158</v>
      </c>
      <c r="I51" s="627"/>
      <c r="J51" s="496" t="s">
        <v>213</v>
      </c>
      <c r="K51" s="496" t="s">
        <v>214</v>
      </c>
      <c r="L51" s="496" t="s">
        <v>215</v>
      </c>
      <c r="M51" s="614"/>
      <c r="N51" s="614"/>
      <c r="O51" s="614"/>
      <c r="P51" s="614"/>
      <c r="Q51" s="495"/>
      <c r="R51" s="610"/>
      <c r="S51" s="30"/>
    </row>
    <row r="52" spans="1:19" s="19" customFormat="1" ht="25.5">
      <c r="A52" s="230" t="s">
        <v>267</v>
      </c>
      <c r="B52" s="310" t="s">
        <v>249</v>
      </c>
      <c r="C52" s="518" t="s">
        <v>180</v>
      </c>
      <c r="D52" s="518">
        <v>2011</v>
      </c>
      <c r="E52" s="518">
        <v>2012</v>
      </c>
      <c r="F52" s="518">
        <v>900</v>
      </c>
      <c r="G52" s="518">
        <v>90015</v>
      </c>
      <c r="H52" s="518">
        <v>6050</v>
      </c>
      <c r="I52" s="61">
        <v>15000</v>
      </c>
      <c r="J52" s="257">
        <v>5000</v>
      </c>
      <c r="K52" s="257"/>
      <c r="L52" s="257">
        <f>J52+K52</f>
        <v>5000</v>
      </c>
      <c r="M52" s="61">
        <v>10000</v>
      </c>
      <c r="N52" s="233"/>
      <c r="O52" s="517">
        <v>0</v>
      </c>
      <c r="P52" s="517">
        <v>0</v>
      </c>
      <c r="Q52" s="517">
        <v>0</v>
      </c>
      <c r="R52" s="216">
        <f>SUM(L52:P52)</f>
        <v>15000</v>
      </c>
      <c r="S52" s="30"/>
    </row>
    <row r="53" spans="1:19" s="19" customFormat="1" ht="38.25">
      <c r="A53" s="230" t="s">
        <v>268</v>
      </c>
      <c r="B53" s="522" t="s">
        <v>269</v>
      </c>
      <c r="C53" s="518" t="s">
        <v>180</v>
      </c>
      <c r="D53" s="518">
        <v>2011</v>
      </c>
      <c r="E53" s="518">
        <v>2012</v>
      </c>
      <c r="F53" s="518">
        <v>900</v>
      </c>
      <c r="G53" s="518">
        <v>90015</v>
      </c>
      <c r="H53" s="518">
        <v>6050</v>
      </c>
      <c r="I53" s="61">
        <v>6000</v>
      </c>
      <c r="J53" s="257"/>
      <c r="K53" s="257">
        <v>1000</v>
      </c>
      <c r="L53" s="257">
        <f>J53+K53</f>
        <v>1000</v>
      </c>
      <c r="M53" s="61">
        <v>5000</v>
      </c>
      <c r="N53" s="233"/>
      <c r="O53" s="517">
        <v>0</v>
      </c>
      <c r="P53" s="517">
        <v>0</v>
      </c>
      <c r="Q53" s="517">
        <v>0</v>
      </c>
      <c r="R53" s="216">
        <f>SUM(L53:P53)</f>
        <v>6000</v>
      </c>
      <c r="S53" s="30"/>
    </row>
    <row r="54" spans="1:18" s="40" customFormat="1" ht="15.75" customHeight="1">
      <c r="A54" s="271" t="s">
        <v>187</v>
      </c>
      <c r="B54" s="461" t="s">
        <v>188</v>
      </c>
      <c r="C54" s="273" t="s">
        <v>167</v>
      </c>
      <c r="D54" s="273">
        <v>2006</v>
      </c>
      <c r="E54" s="273">
        <v>2015</v>
      </c>
      <c r="F54" s="273"/>
      <c r="G54" s="273"/>
      <c r="H54" s="273"/>
      <c r="I54" s="229">
        <f aca="true" t="shared" si="18" ref="I54:R54">I55+I63+I64</f>
        <v>95649737</v>
      </c>
      <c r="J54" s="264">
        <f t="shared" si="18"/>
        <v>7565233</v>
      </c>
      <c r="K54" s="264">
        <f t="shared" si="18"/>
        <v>-933718</v>
      </c>
      <c r="L54" s="264">
        <f t="shared" si="18"/>
        <v>6631515</v>
      </c>
      <c r="M54" s="115">
        <f t="shared" si="18"/>
        <v>27687000</v>
      </c>
      <c r="N54" s="115">
        <f t="shared" si="18"/>
        <v>18560000</v>
      </c>
      <c r="O54" s="115">
        <f t="shared" si="18"/>
        <v>11400000</v>
      </c>
      <c r="P54" s="115">
        <f t="shared" si="18"/>
        <v>29000000</v>
      </c>
      <c r="Q54" s="115">
        <f t="shared" si="18"/>
        <v>0</v>
      </c>
      <c r="R54" s="115">
        <f t="shared" si="18"/>
        <v>93278515</v>
      </c>
    </row>
    <row r="55" spans="1:18" s="19" customFormat="1" ht="30" customHeight="1" thickBot="1">
      <c r="A55" s="274" t="s">
        <v>189</v>
      </c>
      <c r="B55" s="462" t="s">
        <v>240</v>
      </c>
      <c r="C55" s="275" t="s">
        <v>170</v>
      </c>
      <c r="D55" s="477">
        <v>2006</v>
      </c>
      <c r="E55" s="477">
        <v>2015</v>
      </c>
      <c r="F55" s="632" t="s">
        <v>171</v>
      </c>
      <c r="G55" s="632"/>
      <c r="H55" s="632"/>
      <c r="I55" s="479">
        <f>SUM(I56:I62)</f>
        <v>93527737</v>
      </c>
      <c r="J55" s="479">
        <f aca="true" t="shared" si="19" ref="J55:R55">SUM(J56:J62)</f>
        <v>7370233</v>
      </c>
      <c r="K55" s="479">
        <f t="shared" si="19"/>
        <v>-933718</v>
      </c>
      <c r="L55" s="479">
        <f t="shared" si="19"/>
        <v>6436515</v>
      </c>
      <c r="M55" s="479">
        <f t="shared" si="19"/>
        <v>26760000</v>
      </c>
      <c r="N55" s="479">
        <f t="shared" si="19"/>
        <v>17560000</v>
      </c>
      <c r="O55" s="479">
        <f t="shared" si="19"/>
        <v>11400000</v>
      </c>
      <c r="P55" s="479">
        <f t="shared" si="19"/>
        <v>29000000</v>
      </c>
      <c r="Q55" s="479">
        <f t="shared" si="19"/>
        <v>0</v>
      </c>
      <c r="R55" s="479">
        <f t="shared" si="19"/>
        <v>91156515</v>
      </c>
    </row>
    <row r="56" spans="1:18" s="19" customFormat="1" ht="14.25">
      <c r="A56" s="276"/>
      <c r="B56" s="463" t="s">
        <v>190</v>
      </c>
      <c r="C56" s="277"/>
      <c r="D56" s="277"/>
      <c r="E56" s="277"/>
      <c r="F56" s="277">
        <v>801</v>
      </c>
      <c r="G56" s="277">
        <v>80101</v>
      </c>
      <c r="H56" s="277">
        <v>6050</v>
      </c>
      <c r="I56" s="278">
        <v>3707737</v>
      </c>
      <c r="J56" s="279">
        <v>2270233</v>
      </c>
      <c r="K56" s="279">
        <v>-933718</v>
      </c>
      <c r="L56" s="280">
        <f aca="true" t="shared" si="20" ref="L56:L64">J56+K56</f>
        <v>1336515</v>
      </c>
      <c r="M56" s="278"/>
      <c r="N56" s="281"/>
      <c r="O56" s="282"/>
      <c r="P56" s="282"/>
      <c r="Q56" s="282"/>
      <c r="R56" s="283">
        <f t="shared" si="17"/>
        <v>1336515</v>
      </c>
    </row>
    <row r="57" spans="1:18" s="19" customFormat="1" ht="14.25">
      <c r="A57" s="284"/>
      <c r="B57" s="464"/>
      <c r="C57" s="240"/>
      <c r="D57" s="240"/>
      <c r="E57" s="240"/>
      <c r="F57" s="240"/>
      <c r="G57" s="240"/>
      <c r="H57" s="240">
        <v>6058</v>
      </c>
      <c r="I57" s="241">
        <f>SUM(L57:N57)</f>
        <v>10000000</v>
      </c>
      <c r="J57" s="242"/>
      <c r="K57" s="242"/>
      <c r="L57" s="259">
        <f t="shared" si="20"/>
        <v>0</v>
      </c>
      <c r="M57" s="241">
        <v>10000000</v>
      </c>
      <c r="N57" s="243"/>
      <c r="O57" s="244"/>
      <c r="P57" s="244"/>
      <c r="Q57" s="244"/>
      <c r="R57" s="245">
        <f t="shared" si="17"/>
        <v>10000000</v>
      </c>
    </row>
    <row r="58" spans="1:18" s="19" customFormat="1" ht="13.5" thickBot="1">
      <c r="A58" s="285"/>
      <c r="B58" s="286"/>
      <c r="C58" s="287"/>
      <c r="D58" s="287"/>
      <c r="E58" s="287"/>
      <c r="F58" s="287"/>
      <c r="G58" s="287"/>
      <c r="H58" s="287">
        <v>6059</v>
      </c>
      <c r="I58" s="288">
        <f>SUM(L58:N58)</f>
        <v>39420000</v>
      </c>
      <c r="J58" s="289">
        <v>5100000</v>
      </c>
      <c r="K58" s="289"/>
      <c r="L58" s="290">
        <f t="shared" si="20"/>
        <v>5100000</v>
      </c>
      <c r="M58" s="288">
        <v>16760000</v>
      </c>
      <c r="N58" s="291">
        <v>17560000</v>
      </c>
      <c r="O58" s="292"/>
      <c r="P58" s="292"/>
      <c r="Q58" s="292"/>
      <c r="R58" s="293">
        <f t="shared" si="17"/>
        <v>39420000</v>
      </c>
    </row>
    <row r="59" spans="1:18" s="19" customFormat="1" ht="12.75" customHeight="1">
      <c r="A59" s="276"/>
      <c r="B59" s="638" t="s">
        <v>191</v>
      </c>
      <c r="C59" s="294"/>
      <c r="D59" s="294"/>
      <c r="E59" s="294"/>
      <c r="F59" s="294"/>
      <c r="G59" s="294"/>
      <c r="H59" s="294">
        <v>6058</v>
      </c>
      <c r="I59" s="295">
        <f>SUM(J59:P59)</f>
        <v>4000000</v>
      </c>
      <c r="J59" s="296"/>
      <c r="K59" s="296"/>
      <c r="L59" s="280">
        <f t="shared" si="20"/>
        <v>0</v>
      </c>
      <c r="M59" s="295"/>
      <c r="N59" s="295"/>
      <c r="O59" s="294"/>
      <c r="P59" s="295">
        <v>4000000</v>
      </c>
      <c r="Q59" s="297"/>
      <c r="R59" s="298">
        <f t="shared" si="17"/>
        <v>4000000</v>
      </c>
    </row>
    <row r="60" spans="1:18" s="19" customFormat="1" ht="12.75" customHeight="1" thickBot="1">
      <c r="A60" s="284"/>
      <c r="B60" s="638"/>
      <c r="C60" s="299"/>
      <c r="D60" s="299"/>
      <c r="E60" s="299"/>
      <c r="F60" s="299"/>
      <c r="G60" s="299"/>
      <c r="H60" s="299">
        <v>6059</v>
      </c>
      <c r="I60" s="300">
        <f>SUM(L60:P60)</f>
        <v>16400000</v>
      </c>
      <c r="J60" s="301"/>
      <c r="K60" s="301"/>
      <c r="L60" s="290">
        <f t="shared" si="20"/>
        <v>0</v>
      </c>
      <c r="M60" s="300"/>
      <c r="N60" s="300"/>
      <c r="O60" s="300">
        <v>6400000</v>
      </c>
      <c r="P60" s="300">
        <v>10000000</v>
      </c>
      <c r="Q60" s="302"/>
      <c r="R60" s="303">
        <f t="shared" si="17"/>
        <v>16400000</v>
      </c>
    </row>
    <row r="61" spans="1:18" s="19" customFormat="1" ht="12" customHeight="1" thickBot="1">
      <c r="A61" s="276"/>
      <c r="B61" s="628" t="s">
        <v>192</v>
      </c>
      <c r="C61" s="277"/>
      <c r="D61" s="277"/>
      <c r="E61" s="277"/>
      <c r="F61" s="277"/>
      <c r="G61" s="277"/>
      <c r="H61" s="277">
        <v>6058</v>
      </c>
      <c r="I61" s="278">
        <f>SUM(J61:P61)</f>
        <v>5000000</v>
      </c>
      <c r="J61" s="279"/>
      <c r="K61" s="279"/>
      <c r="L61" s="280">
        <f t="shared" si="20"/>
        <v>0</v>
      </c>
      <c r="M61" s="278"/>
      <c r="N61" s="278"/>
      <c r="O61" s="278"/>
      <c r="P61" s="278">
        <v>5000000</v>
      </c>
      <c r="Q61" s="282"/>
      <c r="R61" s="283">
        <f t="shared" si="17"/>
        <v>5000000</v>
      </c>
    </row>
    <row r="62" spans="1:18" s="19" customFormat="1" ht="12" customHeight="1" thickBot="1">
      <c r="A62" s="285"/>
      <c r="B62" s="628"/>
      <c r="C62" s="287"/>
      <c r="D62" s="287"/>
      <c r="E62" s="287"/>
      <c r="F62" s="287"/>
      <c r="G62" s="287"/>
      <c r="H62" s="287">
        <v>6059</v>
      </c>
      <c r="I62" s="288">
        <f>SUM(J62:P62)</f>
        <v>15000000</v>
      </c>
      <c r="J62" s="289"/>
      <c r="K62" s="289"/>
      <c r="L62" s="290">
        <f t="shared" si="20"/>
        <v>0</v>
      </c>
      <c r="M62" s="288"/>
      <c r="N62" s="288"/>
      <c r="O62" s="288">
        <v>5000000</v>
      </c>
      <c r="P62" s="288">
        <v>10000000</v>
      </c>
      <c r="Q62" s="292"/>
      <c r="R62" s="293">
        <f t="shared" si="17"/>
        <v>15000000</v>
      </c>
    </row>
    <row r="63" spans="1:18" s="19" customFormat="1" ht="45" customHeight="1">
      <c r="A63" s="230" t="s">
        <v>256</v>
      </c>
      <c r="B63" s="536" t="s">
        <v>246</v>
      </c>
      <c r="C63" s="231" t="s">
        <v>170</v>
      </c>
      <c r="D63" s="498">
        <v>2011</v>
      </c>
      <c r="E63" s="498">
        <v>2012</v>
      </c>
      <c r="F63" s="498">
        <v>801</v>
      </c>
      <c r="G63" s="498">
        <v>80101</v>
      </c>
      <c r="H63" s="498">
        <v>6050</v>
      </c>
      <c r="I63" s="61">
        <v>25000</v>
      </c>
      <c r="J63" s="257">
        <v>5000</v>
      </c>
      <c r="K63" s="257"/>
      <c r="L63" s="257">
        <f t="shared" si="20"/>
        <v>5000</v>
      </c>
      <c r="M63" s="61">
        <v>20000</v>
      </c>
      <c r="N63" s="233"/>
      <c r="O63" s="497">
        <v>0</v>
      </c>
      <c r="P63" s="497">
        <v>0</v>
      </c>
      <c r="Q63" s="497">
        <v>0</v>
      </c>
      <c r="R63" s="216">
        <f>SUM(L63:P63)</f>
        <v>25000</v>
      </c>
    </row>
    <row r="64" spans="1:18" s="19" customFormat="1" ht="33" customHeight="1">
      <c r="A64" s="274" t="s">
        <v>257</v>
      </c>
      <c r="B64" s="537" t="s">
        <v>204</v>
      </c>
      <c r="C64" s="231" t="s">
        <v>170</v>
      </c>
      <c r="D64" s="231">
        <v>2010</v>
      </c>
      <c r="E64" s="231">
        <v>2013</v>
      </c>
      <c r="F64" s="231">
        <v>801</v>
      </c>
      <c r="G64" s="231">
        <v>80104</v>
      </c>
      <c r="H64" s="231">
        <v>6050</v>
      </c>
      <c r="I64" s="268">
        <v>2097000</v>
      </c>
      <c r="J64" s="269">
        <v>190000</v>
      </c>
      <c r="K64" s="269"/>
      <c r="L64" s="269">
        <f t="shared" si="20"/>
        <v>190000</v>
      </c>
      <c r="M64" s="268">
        <v>907000</v>
      </c>
      <c r="N64" s="499">
        <v>1000000</v>
      </c>
      <c r="O64" s="270">
        <v>0</v>
      </c>
      <c r="P64" s="270">
        <v>0</v>
      </c>
      <c r="Q64" s="270">
        <v>0</v>
      </c>
      <c r="R64" s="500">
        <f>SUM(L64:P64)</f>
        <v>2097000</v>
      </c>
    </row>
    <row r="65" spans="1:26" s="44" customFormat="1" ht="33.75" customHeight="1">
      <c r="A65" s="217" t="s">
        <v>119</v>
      </c>
      <c r="B65" s="218" t="s">
        <v>193</v>
      </c>
      <c r="C65" s="501"/>
      <c r="D65" s="501" t="s">
        <v>84</v>
      </c>
      <c r="E65" s="501" t="s">
        <v>84</v>
      </c>
      <c r="F65" s="501"/>
      <c r="G65" s="501"/>
      <c r="H65" s="501"/>
      <c r="I65" s="220">
        <f>I66</f>
        <v>12627532</v>
      </c>
      <c r="J65" s="221">
        <f>J66</f>
        <v>1200200</v>
      </c>
      <c r="K65" s="221">
        <f>K66</f>
        <v>0</v>
      </c>
      <c r="L65" s="221">
        <f aca="true" t="shared" si="21" ref="L65:L73">J65+K65</f>
        <v>1200200</v>
      </c>
      <c r="M65" s="220">
        <f>M66</f>
        <v>8480000</v>
      </c>
      <c r="N65" s="220">
        <f>N66</f>
        <v>3000000</v>
      </c>
      <c r="O65" s="502">
        <v>0</v>
      </c>
      <c r="P65" s="502">
        <v>0</v>
      </c>
      <c r="Q65" s="502">
        <v>0</v>
      </c>
      <c r="R65" s="503">
        <f aca="true" t="shared" si="22" ref="R65:R73">SUM(L65:P65)</f>
        <v>12680200</v>
      </c>
      <c r="S65" s="19"/>
      <c r="T65" s="19"/>
      <c r="U65" s="19"/>
      <c r="V65" s="19"/>
      <c r="W65" s="19"/>
      <c r="X65" s="19"/>
      <c r="Y65" s="19"/>
      <c r="Z65" s="19"/>
    </row>
    <row r="66" spans="1:19" s="47" customFormat="1" ht="15.75">
      <c r="A66" s="304"/>
      <c r="B66" s="305" t="s">
        <v>161</v>
      </c>
      <c r="C66" s="306"/>
      <c r="D66" s="306" t="s">
        <v>84</v>
      </c>
      <c r="E66" s="306" t="s">
        <v>84</v>
      </c>
      <c r="F66" s="306"/>
      <c r="G66" s="306"/>
      <c r="H66" s="306"/>
      <c r="I66" s="233">
        <f>I67</f>
        <v>12627532</v>
      </c>
      <c r="J66" s="214">
        <v>1200200</v>
      </c>
      <c r="K66" s="214"/>
      <c r="L66" s="214">
        <f aca="true" t="shared" si="23" ref="L66:R66">L67</f>
        <v>801200</v>
      </c>
      <c r="M66" s="233">
        <f t="shared" si="23"/>
        <v>8480000</v>
      </c>
      <c r="N66" s="233">
        <f t="shared" si="23"/>
        <v>3000000</v>
      </c>
      <c r="O66" s="233">
        <f t="shared" si="23"/>
        <v>0</v>
      </c>
      <c r="P66" s="233">
        <f t="shared" si="23"/>
        <v>0</v>
      </c>
      <c r="Q66" s="233">
        <f t="shared" si="23"/>
        <v>0</v>
      </c>
      <c r="R66" s="233">
        <f t="shared" si="23"/>
        <v>12281200</v>
      </c>
      <c r="S66" s="470" t="e">
        <f>R67+#REF!+#REF!</f>
        <v>#REF!</v>
      </c>
    </row>
    <row r="67" spans="1:19" s="47" customFormat="1" ht="19.5" customHeight="1">
      <c r="A67" s="307" t="s">
        <v>194</v>
      </c>
      <c r="B67" s="272" t="s">
        <v>195</v>
      </c>
      <c r="C67" s="308" t="s">
        <v>167</v>
      </c>
      <c r="D67" s="273">
        <v>2009</v>
      </c>
      <c r="E67" s="273">
        <v>2012</v>
      </c>
      <c r="F67" s="114"/>
      <c r="G67" s="115"/>
      <c r="H67" s="115"/>
      <c r="I67" s="114">
        <f>SUM(I68:I73)</f>
        <v>12627532</v>
      </c>
      <c r="J67" s="264">
        <f>SUM(J68:J73)</f>
        <v>1200200</v>
      </c>
      <c r="K67" s="264">
        <f>SUM(K68:K73)</f>
        <v>-399000</v>
      </c>
      <c r="L67" s="264">
        <f t="shared" si="21"/>
        <v>801200</v>
      </c>
      <c r="M67" s="114">
        <f>SUM(M68:M73)</f>
        <v>8480000</v>
      </c>
      <c r="N67" s="114">
        <f>SUM(N68:N73)</f>
        <v>3000000</v>
      </c>
      <c r="O67" s="115"/>
      <c r="P67" s="115"/>
      <c r="Q67" s="115"/>
      <c r="R67" s="113">
        <f>SUM(L67:P67)</f>
        <v>12281200</v>
      </c>
      <c r="S67" s="470">
        <f>SUM(R68:R73)</f>
        <v>12281200</v>
      </c>
    </row>
    <row r="68" spans="1:18" s="47" customFormat="1" ht="38.25">
      <c r="A68" s="230" t="s">
        <v>196</v>
      </c>
      <c r="B68" s="535" t="s">
        <v>272</v>
      </c>
      <c r="C68" s="475" t="s">
        <v>180</v>
      </c>
      <c r="D68" s="475">
        <v>2009</v>
      </c>
      <c r="E68" s="475">
        <v>2012</v>
      </c>
      <c r="F68" s="61">
        <v>600</v>
      </c>
      <c r="G68" s="61" t="s">
        <v>197</v>
      </c>
      <c r="H68" s="61">
        <v>6050</v>
      </c>
      <c r="I68" s="61">
        <v>21000</v>
      </c>
      <c r="J68" s="257"/>
      <c r="K68" s="257">
        <v>1000</v>
      </c>
      <c r="L68" s="257">
        <f>J68+K68</f>
        <v>1000</v>
      </c>
      <c r="M68" s="61">
        <v>20000</v>
      </c>
      <c r="N68" s="233"/>
      <c r="O68" s="233"/>
      <c r="P68" s="233"/>
      <c r="Q68" s="233"/>
      <c r="R68" s="216">
        <f>SUM(L68:P68)</f>
        <v>21000</v>
      </c>
    </row>
    <row r="69" spans="1:18" s="47" customFormat="1" ht="38.25">
      <c r="A69" s="230" t="s">
        <v>198</v>
      </c>
      <c r="B69" s="538" t="s">
        <v>277</v>
      </c>
      <c r="C69" s="521" t="s">
        <v>180</v>
      </c>
      <c r="D69" s="521">
        <v>2009</v>
      </c>
      <c r="E69" s="521">
        <v>2012</v>
      </c>
      <c r="F69" s="61">
        <v>600</v>
      </c>
      <c r="G69" s="61" t="s">
        <v>197</v>
      </c>
      <c r="H69" s="61">
        <v>6050</v>
      </c>
      <c r="I69" s="61">
        <v>8541532</v>
      </c>
      <c r="J69" s="257">
        <v>395200</v>
      </c>
      <c r="K69" s="257"/>
      <c r="L69" s="257">
        <f>J69+K69</f>
        <v>395200</v>
      </c>
      <c r="M69" s="61">
        <v>4800000</v>
      </c>
      <c r="N69" s="61">
        <v>3000000</v>
      </c>
      <c r="O69" s="233"/>
      <c r="P69" s="233"/>
      <c r="Q69" s="233"/>
      <c r="R69" s="216">
        <f>SUM(L69:P69)</f>
        <v>8195200</v>
      </c>
    </row>
    <row r="70" spans="1:18" s="47" customFormat="1" ht="25.5">
      <c r="A70" s="230" t="s">
        <v>200</v>
      </c>
      <c r="B70" s="538" t="s">
        <v>275</v>
      </c>
      <c r="C70" s="475" t="s">
        <v>180</v>
      </c>
      <c r="D70" s="475">
        <v>2011</v>
      </c>
      <c r="E70" s="475">
        <v>2012</v>
      </c>
      <c r="F70" s="61">
        <v>600</v>
      </c>
      <c r="G70" s="61">
        <v>60016</v>
      </c>
      <c r="H70" s="61">
        <v>6050</v>
      </c>
      <c r="I70" s="61">
        <v>65000</v>
      </c>
      <c r="J70" s="257">
        <v>5000</v>
      </c>
      <c r="K70" s="257"/>
      <c r="L70" s="257">
        <f t="shared" si="21"/>
        <v>5000</v>
      </c>
      <c r="M70" s="61">
        <v>60000</v>
      </c>
      <c r="N70" s="233"/>
      <c r="O70" s="233"/>
      <c r="P70" s="233"/>
      <c r="Q70" s="233"/>
      <c r="R70" s="216">
        <f t="shared" si="22"/>
        <v>65000</v>
      </c>
    </row>
    <row r="71" spans="1:18" s="47" customFormat="1" ht="44.25" customHeight="1">
      <c r="A71" s="309" t="s">
        <v>202</v>
      </c>
      <c r="B71" s="56" t="s">
        <v>199</v>
      </c>
      <c r="C71" s="475" t="s">
        <v>180</v>
      </c>
      <c r="D71" s="475">
        <v>2011</v>
      </c>
      <c r="E71" s="475">
        <v>2012</v>
      </c>
      <c r="F71" s="61">
        <v>600</v>
      </c>
      <c r="G71" s="61" t="s">
        <v>197</v>
      </c>
      <c r="H71" s="61">
        <v>6050</v>
      </c>
      <c r="I71" s="61">
        <f>J71+M71</f>
        <v>2000000</v>
      </c>
      <c r="J71" s="257">
        <v>200000</v>
      </c>
      <c r="K71" s="257"/>
      <c r="L71" s="257">
        <f t="shared" si="21"/>
        <v>200000</v>
      </c>
      <c r="M71" s="61">
        <v>1800000</v>
      </c>
      <c r="N71" s="233"/>
      <c r="O71" s="233"/>
      <c r="P71" s="233"/>
      <c r="Q71" s="233"/>
      <c r="R71" s="216">
        <f t="shared" si="22"/>
        <v>2000000</v>
      </c>
    </row>
    <row r="72" spans="1:18" s="47" customFormat="1" ht="31.5" customHeight="1">
      <c r="A72" s="230" t="s">
        <v>245</v>
      </c>
      <c r="B72" s="56" t="s">
        <v>201</v>
      </c>
      <c r="C72" s="475" t="s">
        <v>180</v>
      </c>
      <c r="D72" s="475">
        <v>2011</v>
      </c>
      <c r="E72" s="475">
        <v>2012</v>
      </c>
      <c r="F72" s="61">
        <v>600</v>
      </c>
      <c r="G72" s="61" t="s">
        <v>197</v>
      </c>
      <c r="H72" s="61">
        <v>6050</v>
      </c>
      <c r="I72" s="61"/>
      <c r="J72" s="257">
        <v>400000</v>
      </c>
      <c r="K72" s="257">
        <v>-400000</v>
      </c>
      <c r="L72" s="257">
        <f t="shared" si="21"/>
        <v>0</v>
      </c>
      <c r="M72" s="61"/>
      <c r="N72" s="61"/>
      <c r="O72" s="61"/>
      <c r="P72" s="61"/>
      <c r="Q72" s="61"/>
      <c r="R72" s="216">
        <f t="shared" si="22"/>
        <v>0</v>
      </c>
    </row>
    <row r="73" spans="1:18" s="47" customFormat="1" ht="12.75">
      <c r="A73" s="309" t="s">
        <v>273</v>
      </c>
      <c r="B73" s="538" t="s">
        <v>274</v>
      </c>
      <c r="C73" s="475" t="s">
        <v>180</v>
      </c>
      <c r="D73" s="475">
        <v>2011</v>
      </c>
      <c r="E73" s="475">
        <v>2012</v>
      </c>
      <c r="F73" s="61">
        <v>600</v>
      </c>
      <c r="G73" s="61" t="s">
        <v>197</v>
      </c>
      <c r="H73" s="61">
        <v>6050</v>
      </c>
      <c r="I73" s="61">
        <f>J73+M73</f>
        <v>2000000</v>
      </c>
      <c r="J73" s="257">
        <v>200000</v>
      </c>
      <c r="K73" s="257"/>
      <c r="L73" s="257">
        <f t="shared" si="21"/>
        <v>200000</v>
      </c>
      <c r="M73" s="61">
        <v>1800000</v>
      </c>
      <c r="N73" s="61"/>
      <c r="O73" s="61"/>
      <c r="P73" s="61"/>
      <c r="Q73" s="61"/>
      <c r="R73" s="216">
        <f t="shared" si="22"/>
        <v>2000000</v>
      </c>
    </row>
    <row r="74" spans="1:18" ht="71.25" customHeight="1">
      <c r="A74" s="466" t="s">
        <v>205</v>
      </c>
      <c r="B74" s="490" t="s">
        <v>206</v>
      </c>
      <c r="C74" s="467"/>
      <c r="D74" s="468" t="s">
        <v>84</v>
      </c>
      <c r="E74" s="467" t="s">
        <v>84</v>
      </c>
      <c r="F74" s="467"/>
      <c r="G74" s="467"/>
      <c r="H74" s="467"/>
      <c r="I74" s="465">
        <f>I75</f>
        <v>2782834</v>
      </c>
      <c r="J74" s="221">
        <f>J75</f>
        <v>689928</v>
      </c>
      <c r="K74" s="221"/>
      <c r="L74" s="221">
        <f>J74+K74</f>
        <v>689928</v>
      </c>
      <c r="M74" s="465">
        <f>M75</f>
        <v>729529</v>
      </c>
      <c r="N74" s="465">
        <f>N75</f>
        <v>591813</v>
      </c>
      <c r="O74" s="465">
        <f>O75</f>
        <v>371014</v>
      </c>
      <c r="P74" s="465">
        <f>P75</f>
        <v>371015</v>
      </c>
      <c r="Q74" s="465">
        <v>0</v>
      </c>
      <c r="R74" s="471">
        <f>SUM(L74:P74)</f>
        <v>2753299</v>
      </c>
    </row>
    <row r="75" spans="1:19" s="38" customFormat="1" ht="14.25">
      <c r="A75" s="211"/>
      <c r="B75" s="519" t="s">
        <v>160</v>
      </c>
      <c r="C75" s="232"/>
      <c r="D75" s="58" t="s">
        <v>84</v>
      </c>
      <c r="E75" s="311" t="s">
        <v>84</v>
      </c>
      <c r="F75" s="311"/>
      <c r="G75" s="311"/>
      <c r="H75" s="311"/>
      <c r="I75" s="213">
        <f>SUM(I76:I90)</f>
        <v>2782834</v>
      </c>
      <c r="J75" s="214">
        <f>SUM(J76:J90)</f>
        <v>689928</v>
      </c>
      <c r="K75" s="214">
        <f>SUM(K76:K90)</f>
        <v>-206400</v>
      </c>
      <c r="L75" s="214">
        <f>J75+K75</f>
        <v>483528</v>
      </c>
      <c r="M75" s="213">
        <f>SUM(M76:M90)</f>
        <v>729529</v>
      </c>
      <c r="N75" s="213">
        <f>SUM(N77:N90)</f>
        <v>591813</v>
      </c>
      <c r="O75" s="213">
        <f>SUM(O77:O90)</f>
        <v>371014</v>
      </c>
      <c r="P75" s="213">
        <f>SUM(P77:P90)</f>
        <v>371015</v>
      </c>
      <c r="Q75" s="52">
        <v>0</v>
      </c>
      <c r="R75" s="216">
        <f>SUM(L75:P75)</f>
        <v>2546899</v>
      </c>
      <c r="S75" s="469">
        <f>SUM(R76:R90)</f>
        <v>2536834</v>
      </c>
    </row>
    <row r="76" spans="1:18" ht="25.5">
      <c r="A76" s="181" t="s">
        <v>163</v>
      </c>
      <c r="B76" s="539" t="s">
        <v>207</v>
      </c>
      <c r="C76" s="253" t="s">
        <v>180</v>
      </c>
      <c r="D76" s="58">
        <v>2011</v>
      </c>
      <c r="E76" s="58">
        <v>2012</v>
      </c>
      <c r="F76" s="58">
        <v>700</v>
      </c>
      <c r="G76" s="58">
        <v>70005</v>
      </c>
      <c r="H76" s="58">
        <v>4400</v>
      </c>
      <c r="I76" s="52">
        <f>J76+M76</f>
        <v>44344</v>
      </c>
      <c r="J76" s="257">
        <v>22172</v>
      </c>
      <c r="K76" s="257"/>
      <c r="L76" s="214">
        <f aca="true" t="shared" si="24" ref="L76:L89">J76+K76</f>
        <v>22172</v>
      </c>
      <c r="M76" s="52">
        <v>22172</v>
      </c>
      <c r="N76" s="52">
        <v>0</v>
      </c>
      <c r="O76" s="52">
        <v>0</v>
      </c>
      <c r="P76" s="52">
        <v>0</v>
      </c>
      <c r="Q76" s="52">
        <v>0</v>
      </c>
      <c r="R76" s="216">
        <f aca="true" t="shared" si="25" ref="R76:R89">SUM(L76:P76)</f>
        <v>44344</v>
      </c>
    </row>
    <row r="77" spans="1:18" ht="25.5">
      <c r="A77" s="181" t="s">
        <v>119</v>
      </c>
      <c r="B77" s="539" t="s">
        <v>258</v>
      </c>
      <c r="C77" s="253" t="s">
        <v>180</v>
      </c>
      <c r="D77" s="58">
        <v>2011</v>
      </c>
      <c r="E77" s="58">
        <v>2012</v>
      </c>
      <c r="F77" s="58">
        <v>700</v>
      </c>
      <c r="G77" s="58">
        <v>70005</v>
      </c>
      <c r="H77" s="58">
        <v>4300</v>
      </c>
      <c r="I77" s="52">
        <f>J77+M77</f>
        <v>28306</v>
      </c>
      <c r="J77" s="257">
        <v>14153</v>
      </c>
      <c r="K77" s="257"/>
      <c r="L77" s="214">
        <f t="shared" si="24"/>
        <v>14153</v>
      </c>
      <c r="M77" s="52">
        <v>14153</v>
      </c>
      <c r="N77" s="52">
        <v>0</v>
      </c>
      <c r="O77" s="52">
        <v>0</v>
      </c>
      <c r="P77" s="52">
        <v>0</v>
      </c>
      <c r="Q77" s="52">
        <v>0</v>
      </c>
      <c r="R77" s="216">
        <f t="shared" si="25"/>
        <v>28306</v>
      </c>
    </row>
    <row r="78" spans="1:18" ht="38.25">
      <c r="A78" s="181" t="s">
        <v>121</v>
      </c>
      <c r="B78" s="539" t="s">
        <v>259</v>
      </c>
      <c r="C78" s="312" t="s">
        <v>170</v>
      </c>
      <c r="D78" s="58">
        <v>2011</v>
      </c>
      <c r="E78" s="58">
        <v>2012</v>
      </c>
      <c r="F78" s="58">
        <v>600</v>
      </c>
      <c r="G78" s="58">
        <v>60016</v>
      </c>
      <c r="H78" s="58">
        <v>4300</v>
      </c>
      <c r="I78" s="52">
        <f>J78+M78</f>
        <v>40626</v>
      </c>
      <c r="J78" s="257">
        <v>20313</v>
      </c>
      <c r="K78" s="257"/>
      <c r="L78" s="214">
        <f t="shared" si="24"/>
        <v>20313</v>
      </c>
      <c r="M78" s="52">
        <v>20313</v>
      </c>
      <c r="N78" s="52">
        <v>0</v>
      </c>
      <c r="O78" s="52">
        <v>0</v>
      </c>
      <c r="P78" s="52">
        <v>0</v>
      </c>
      <c r="Q78" s="52">
        <v>0</v>
      </c>
      <c r="R78" s="216">
        <f t="shared" si="25"/>
        <v>40626</v>
      </c>
    </row>
    <row r="79" spans="1:18" ht="27.75" customHeight="1">
      <c r="A79" s="523"/>
      <c r="B79" s="524"/>
      <c r="C79" s="525"/>
      <c r="D79" s="525"/>
      <c r="E79" s="525"/>
      <c r="F79" s="525"/>
      <c r="G79" s="525"/>
      <c r="H79" s="525"/>
      <c r="I79" s="526"/>
      <c r="J79" s="533"/>
      <c r="K79" s="533"/>
      <c r="L79" s="534"/>
      <c r="M79" s="533"/>
      <c r="N79" s="526"/>
      <c r="O79" s="526"/>
      <c r="P79" s="526"/>
      <c r="Q79" s="526"/>
      <c r="R79" s="527"/>
    </row>
    <row r="80" spans="1:18" ht="18.75" customHeight="1" thickBot="1">
      <c r="A80" s="528"/>
      <c r="B80" s="529"/>
      <c r="C80" s="530"/>
      <c r="D80" s="530"/>
      <c r="E80" s="530"/>
      <c r="F80" s="530"/>
      <c r="G80" s="530"/>
      <c r="H80" s="530"/>
      <c r="I80" s="531"/>
      <c r="J80" s="493"/>
      <c r="K80" s="493"/>
      <c r="L80" s="494"/>
      <c r="M80" s="493"/>
      <c r="N80" s="531"/>
      <c r="O80" s="531"/>
      <c r="P80" s="531"/>
      <c r="Q80" s="531"/>
      <c r="R80" s="532"/>
    </row>
    <row r="81" spans="1:18" ht="12.75">
      <c r="A81" s="615" t="s">
        <v>115</v>
      </c>
      <c r="B81" s="618" t="s">
        <v>148</v>
      </c>
      <c r="C81" s="621" t="s">
        <v>149</v>
      </c>
      <c r="D81" s="624" t="s">
        <v>244</v>
      </c>
      <c r="E81" s="624"/>
      <c r="F81" s="624" t="s">
        <v>150</v>
      </c>
      <c r="G81" s="624"/>
      <c r="H81" s="624"/>
      <c r="I81" s="607" t="s">
        <v>151</v>
      </c>
      <c r="J81" s="607" t="s">
        <v>152</v>
      </c>
      <c r="K81" s="607"/>
      <c r="L81" s="607"/>
      <c r="M81" s="607"/>
      <c r="N81" s="607"/>
      <c r="O81" s="607"/>
      <c r="P81" s="607"/>
      <c r="Q81" s="607"/>
      <c r="R81" s="608" t="s">
        <v>153</v>
      </c>
    </row>
    <row r="82" spans="1:18" ht="19.5" customHeight="1">
      <c r="A82" s="616"/>
      <c r="B82" s="619"/>
      <c r="C82" s="622"/>
      <c r="D82" s="625"/>
      <c r="E82" s="625"/>
      <c r="F82" s="625"/>
      <c r="G82" s="625"/>
      <c r="H82" s="625"/>
      <c r="I82" s="626"/>
      <c r="J82" s="611">
        <v>2011</v>
      </c>
      <c r="K82" s="611"/>
      <c r="L82" s="612"/>
      <c r="M82" s="613">
        <v>2012</v>
      </c>
      <c r="N82" s="613">
        <v>2013</v>
      </c>
      <c r="O82" s="613">
        <v>2014</v>
      </c>
      <c r="P82" s="613">
        <v>2015</v>
      </c>
      <c r="Q82" s="516">
        <v>2015</v>
      </c>
      <c r="R82" s="609"/>
    </row>
    <row r="83" spans="1:18" ht="26.25" thickBot="1">
      <c r="A83" s="617"/>
      <c r="B83" s="620"/>
      <c r="C83" s="623"/>
      <c r="D83" s="495" t="s">
        <v>154</v>
      </c>
      <c r="E83" s="495" t="s">
        <v>155</v>
      </c>
      <c r="F83" s="495" t="s">
        <v>156</v>
      </c>
      <c r="G83" s="495" t="s">
        <v>157</v>
      </c>
      <c r="H83" s="495" t="s">
        <v>158</v>
      </c>
      <c r="I83" s="627"/>
      <c r="J83" s="496" t="s">
        <v>213</v>
      </c>
      <c r="K83" s="496" t="s">
        <v>214</v>
      </c>
      <c r="L83" s="496" t="s">
        <v>215</v>
      </c>
      <c r="M83" s="614"/>
      <c r="N83" s="614"/>
      <c r="O83" s="614"/>
      <c r="P83" s="614"/>
      <c r="Q83" s="495"/>
      <c r="R83" s="610"/>
    </row>
    <row r="84" spans="1:18" ht="18" customHeight="1">
      <c r="A84" s="181" t="s">
        <v>123</v>
      </c>
      <c r="B84" s="520" t="s">
        <v>208</v>
      </c>
      <c r="C84" s="253" t="s">
        <v>209</v>
      </c>
      <c r="D84" s="58">
        <v>2011</v>
      </c>
      <c r="E84" s="58">
        <v>2013</v>
      </c>
      <c r="F84" s="58">
        <v>750</v>
      </c>
      <c r="G84" s="58">
        <v>75023</v>
      </c>
      <c r="H84" s="58">
        <v>4300</v>
      </c>
      <c r="I84" s="52">
        <f>J84+M84+N84</f>
        <v>549000</v>
      </c>
      <c r="J84" s="257">
        <v>183000</v>
      </c>
      <c r="K84" s="257"/>
      <c r="L84" s="214">
        <f t="shared" si="24"/>
        <v>183000</v>
      </c>
      <c r="M84" s="52">
        <v>183000</v>
      </c>
      <c r="N84" s="52">
        <v>183000</v>
      </c>
      <c r="O84" s="52">
        <v>0</v>
      </c>
      <c r="P84" s="52">
        <v>0</v>
      </c>
      <c r="Q84" s="52">
        <v>0</v>
      </c>
      <c r="R84" s="216">
        <f t="shared" si="25"/>
        <v>549000</v>
      </c>
    </row>
    <row r="85" spans="1:18" ht="14.25">
      <c r="A85" s="181" t="s">
        <v>125</v>
      </c>
      <c r="B85" s="520" t="s">
        <v>210</v>
      </c>
      <c r="C85" s="253" t="s">
        <v>209</v>
      </c>
      <c r="D85" s="58">
        <v>2011</v>
      </c>
      <c r="E85" s="58">
        <v>2012</v>
      </c>
      <c r="F85" s="58">
        <v>750</v>
      </c>
      <c r="G85" s="58">
        <v>75023</v>
      </c>
      <c r="H85" s="58">
        <v>4300</v>
      </c>
      <c r="I85" s="52">
        <f>J85+M85</f>
        <v>8198</v>
      </c>
      <c r="J85" s="257">
        <v>4099</v>
      </c>
      <c r="K85" s="257"/>
      <c r="L85" s="214">
        <f t="shared" si="24"/>
        <v>4099</v>
      </c>
      <c r="M85" s="58">
        <v>4099</v>
      </c>
      <c r="N85" s="58">
        <v>0</v>
      </c>
      <c r="O85" s="52">
        <v>0</v>
      </c>
      <c r="P85" s="52">
        <v>0</v>
      </c>
      <c r="Q85" s="52">
        <v>0</v>
      </c>
      <c r="R85" s="216">
        <f t="shared" si="25"/>
        <v>8198</v>
      </c>
    </row>
    <row r="86" spans="1:18" ht="28.5" customHeight="1">
      <c r="A86" s="181" t="s">
        <v>127</v>
      </c>
      <c r="B86" s="520" t="s">
        <v>261</v>
      </c>
      <c r="C86" s="253" t="s">
        <v>209</v>
      </c>
      <c r="D86" s="58">
        <v>2011</v>
      </c>
      <c r="E86" s="58">
        <v>2012</v>
      </c>
      <c r="F86" s="58">
        <v>750</v>
      </c>
      <c r="G86" s="58">
        <v>75023</v>
      </c>
      <c r="H86" s="58">
        <v>4300</v>
      </c>
      <c r="I86" s="52">
        <f>J86+M86</f>
        <v>6360</v>
      </c>
      <c r="J86" s="257">
        <v>3180</v>
      </c>
      <c r="K86" s="257"/>
      <c r="L86" s="214">
        <f t="shared" si="24"/>
        <v>3180</v>
      </c>
      <c r="M86" s="58">
        <v>3180</v>
      </c>
      <c r="N86" s="58">
        <v>0</v>
      </c>
      <c r="O86" s="52">
        <v>0</v>
      </c>
      <c r="P86" s="52">
        <v>0</v>
      </c>
      <c r="Q86" s="52">
        <v>0</v>
      </c>
      <c r="R86" s="216">
        <f t="shared" si="25"/>
        <v>6360</v>
      </c>
    </row>
    <row r="87" spans="1:18" ht="57">
      <c r="A87" s="181" t="s">
        <v>129</v>
      </c>
      <c r="B87" s="520" t="s">
        <v>260</v>
      </c>
      <c r="C87" s="253" t="s">
        <v>211</v>
      </c>
      <c r="D87" s="58">
        <v>2011</v>
      </c>
      <c r="E87" s="58">
        <v>2013</v>
      </c>
      <c r="F87" s="58">
        <v>700</v>
      </c>
      <c r="G87" s="58">
        <v>70005</v>
      </c>
      <c r="H87" s="58">
        <v>4400</v>
      </c>
      <c r="I87" s="52">
        <f>J87+M87+N87</f>
        <v>252000</v>
      </c>
      <c r="J87" s="257">
        <v>108000</v>
      </c>
      <c r="K87" s="257"/>
      <c r="L87" s="214">
        <f t="shared" si="24"/>
        <v>108000</v>
      </c>
      <c r="M87" s="52">
        <v>108000</v>
      </c>
      <c r="N87" s="52">
        <v>36000</v>
      </c>
      <c r="O87" s="52">
        <v>0</v>
      </c>
      <c r="P87" s="52">
        <v>0</v>
      </c>
      <c r="Q87" s="52">
        <v>0</v>
      </c>
      <c r="R87" s="216">
        <f t="shared" si="25"/>
        <v>252000</v>
      </c>
    </row>
    <row r="88" spans="1:18" ht="28.5">
      <c r="A88" s="181" t="s">
        <v>131</v>
      </c>
      <c r="B88" s="520" t="s">
        <v>212</v>
      </c>
      <c r="C88" s="253" t="s">
        <v>211</v>
      </c>
      <c r="D88" s="58">
        <v>2011</v>
      </c>
      <c r="E88" s="58">
        <v>2013</v>
      </c>
      <c r="F88" s="58">
        <v>700</v>
      </c>
      <c r="G88" s="58">
        <v>70005</v>
      </c>
      <c r="H88" s="58">
        <v>4400</v>
      </c>
      <c r="I88" s="52">
        <f>J88+M88+N88</f>
        <v>9000</v>
      </c>
      <c r="J88" s="257">
        <v>3600</v>
      </c>
      <c r="K88" s="257"/>
      <c r="L88" s="214">
        <f t="shared" si="24"/>
        <v>3600</v>
      </c>
      <c r="M88" s="52">
        <v>3600</v>
      </c>
      <c r="N88" s="58">
        <v>1800</v>
      </c>
      <c r="O88" s="52">
        <v>0</v>
      </c>
      <c r="P88" s="52">
        <v>0</v>
      </c>
      <c r="Q88" s="52">
        <v>0</v>
      </c>
      <c r="R88" s="216">
        <f t="shared" si="25"/>
        <v>9000</v>
      </c>
    </row>
    <row r="89" spans="1:18" ht="71.25">
      <c r="A89" s="181" t="s">
        <v>133</v>
      </c>
      <c r="B89" s="520" t="s">
        <v>265</v>
      </c>
      <c r="C89" s="505" t="s">
        <v>211</v>
      </c>
      <c r="D89" s="504">
        <v>2011</v>
      </c>
      <c r="E89" s="504">
        <v>2014</v>
      </c>
      <c r="F89" s="504">
        <v>801</v>
      </c>
      <c r="G89" s="504">
        <v>80101</v>
      </c>
      <c r="H89" s="504">
        <v>4400</v>
      </c>
      <c r="I89" s="52"/>
      <c r="J89" s="257">
        <v>329400</v>
      </c>
      <c r="K89" s="257">
        <v>-329400</v>
      </c>
      <c r="L89" s="214">
        <f t="shared" si="24"/>
        <v>0</v>
      </c>
      <c r="M89" s="52"/>
      <c r="N89" s="52"/>
      <c r="O89" s="52"/>
      <c r="P89" s="52"/>
      <c r="Q89" s="52">
        <v>0</v>
      </c>
      <c r="R89" s="216">
        <f t="shared" si="25"/>
        <v>0</v>
      </c>
    </row>
    <row r="90" spans="1:18" ht="36.75" customHeight="1">
      <c r="A90" s="181" t="s">
        <v>136</v>
      </c>
      <c r="B90" s="520" t="s">
        <v>276</v>
      </c>
      <c r="C90" s="253" t="s">
        <v>211</v>
      </c>
      <c r="D90" s="58">
        <v>2011</v>
      </c>
      <c r="E90" s="58">
        <v>2014</v>
      </c>
      <c r="F90" s="58">
        <v>801</v>
      </c>
      <c r="G90" s="58">
        <v>80101</v>
      </c>
      <c r="H90" s="58">
        <v>4400</v>
      </c>
      <c r="I90" s="52">
        <f>L90+M90+N90+P874+O90+P90+246000</f>
        <v>1845000</v>
      </c>
      <c r="J90" s="257"/>
      <c r="K90" s="257">
        <v>123000</v>
      </c>
      <c r="L90" s="214">
        <f>J90+K90</f>
        <v>123000</v>
      </c>
      <c r="M90" s="52">
        <v>369000</v>
      </c>
      <c r="N90" s="52">
        <v>369000</v>
      </c>
      <c r="O90" s="52">
        <v>369000</v>
      </c>
      <c r="P90" s="52">
        <v>369000</v>
      </c>
      <c r="Q90" s="52">
        <v>0</v>
      </c>
      <c r="R90" s="216">
        <f>SUM(L90:P90)</f>
        <v>1599000</v>
      </c>
    </row>
    <row r="91" spans="1:18" ht="12.75">
      <c r="A91" s="89"/>
      <c r="B91" s="89" t="s">
        <v>266</v>
      </c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9"/>
    </row>
    <row r="92" spans="1:3" ht="15">
      <c r="A92" s="37"/>
      <c r="B92" s="48"/>
      <c r="C92" s="49"/>
    </row>
    <row r="93" spans="1:3" ht="15">
      <c r="A93" s="37"/>
      <c r="B93" s="50"/>
      <c r="C93" s="49"/>
    </row>
    <row r="94" spans="1:3" ht="15">
      <c r="A94" s="51"/>
      <c r="B94" s="50"/>
      <c r="C94" s="49"/>
    </row>
    <row r="95" spans="1:3" ht="12.75">
      <c r="A95" s="37"/>
      <c r="B95" s="37"/>
      <c r="C95" s="49"/>
    </row>
  </sheetData>
  <sheetProtection/>
  <mergeCells count="57">
    <mergeCell ref="J49:Q49"/>
    <mergeCell ref="R49:R51"/>
    <mergeCell ref="J50:L50"/>
    <mergeCell ref="M50:M51"/>
    <mergeCell ref="N50:N51"/>
    <mergeCell ref="O50:O51"/>
    <mergeCell ref="P50:P51"/>
    <mergeCell ref="A49:A51"/>
    <mergeCell ref="B49:B51"/>
    <mergeCell ref="C49:C51"/>
    <mergeCell ref="D49:E50"/>
    <mergeCell ref="F49:H50"/>
    <mergeCell ref="I49:I51"/>
    <mergeCell ref="A6:R7"/>
    <mergeCell ref="A8:A10"/>
    <mergeCell ref="B8:B10"/>
    <mergeCell ref="C8:C10"/>
    <mergeCell ref="D8:E9"/>
    <mergeCell ref="F8:H9"/>
    <mergeCell ref="I8:I10"/>
    <mergeCell ref="J8:Q8"/>
    <mergeCell ref="R8:R10"/>
    <mergeCell ref="J9:L9"/>
    <mergeCell ref="M9:M10"/>
    <mergeCell ref="N9:N10"/>
    <mergeCell ref="O9:O10"/>
    <mergeCell ref="P9:P10"/>
    <mergeCell ref="F18:H18"/>
    <mergeCell ref="B19:B20"/>
    <mergeCell ref="F19:H19"/>
    <mergeCell ref="F30:H30"/>
    <mergeCell ref="B24:B25"/>
    <mergeCell ref="F24:H24"/>
    <mergeCell ref="B59:B60"/>
    <mergeCell ref="B31:B32"/>
    <mergeCell ref="F31:H31"/>
    <mergeCell ref="B61:B62"/>
    <mergeCell ref="F34:H34"/>
    <mergeCell ref="F38:H38"/>
    <mergeCell ref="B41:B43"/>
    <mergeCell ref="F41:H41"/>
    <mergeCell ref="F45:H45"/>
    <mergeCell ref="F55:H55"/>
    <mergeCell ref="B34:B35"/>
    <mergeCell ref="A81:A83"/>
    <mergeCell ref="B81:B83"/>
    <mergeCell ref="C81:C83"/>
    <mergeCell ref="D81:E82"/>
    <mergeCell ref="F81:H82"/>
    <mergeCell ref="I81:I83"/>
    <mergeCell ref="J81:Q81"/>
    <mergeCell ref="R81:R83"/>
    <mergeCell ref="J82:L82"/>
    <mergeCell ref="M82:M83"/>
    <mergeCell ref="N82:N83"/>
    <mergeCell ref="O82:O83"/>
    <mergeCell ref="P82:P83"/>
  </mergeCells>
  <printOptions horizontalCentered="1"/>
  <pageMargins left="0.39375" right="0.19652777777777777" top="0.27569444444444446" bottom="0.5118055555555555" header="0.5118055555555555" footer="0.5118055555555555"/>
  <pageSetup horizontalDpi="1200" verticalDpi="12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2011-08-19T13:12:49Z</cp:lastPrinted>
  <dcterms:created xsi:type="dcterms:W3CDTF">2011-02-22T14:35:52Z</dcterms:created>
  <dcterms:modified xsi:type="dcterms:W3CDTF">2011-08-19T13:24:24Z</dcterms:modified>
  <cp:category/>
  <cp:version/>
  <cp:contentType/>
  <cp:contentStatus/>
</cp:coreProperties>
</file>