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4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definedNames>
    <definedName name="_xlnm.Print_Area" localSheetId="5">'Prognoza długu'!$G$16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<sst xmlns="http://schemas.openxmlformats.org/spreadsheetml/2006/main" count="871" uniqueCount="414">
  <si>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</si>
  <si>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</si>
  <si>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</si>
  <si>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</si>
  <si>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</si>
  <si>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</si>
  <si>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</si>
  <si>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</si>
  <si>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</si>
  <si>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</si>
  <si>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</si>
  <si>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</si>
  <si>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</si>
  <si>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</si>
  <si>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</si>
  <si>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</si>
  <si>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</si>
  <si>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</si>
  <si>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</si>
  <si>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</si>
  <si>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</si>
  <si>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</si>
  <si>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</si>
  <si>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</si>
  <si>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</si>
  <si>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</si>
  <si>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</si>
  <si>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</si>
  <si>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</si>
  <si>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</si>
  <si>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</si>
  <si>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</si>
  <si>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</si>
  <si>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</si>
  <si>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</si>
  <si>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</si>
  <si>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</si>
  <si>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</si>
  <si>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</si>
  <si>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</si>
  <si>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</si>
  <si>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</si>
  <si>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</si>
  <si>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</si>
  <si>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</si>
  <si>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</si>
  <si>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</si>
  <si>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</si>
  <si>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</si>
  <si>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</si>
  <si>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</si>
  <si>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</si>
  <si>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</si>
  <si>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</si>
  <si>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</si>
  <si>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</si>
  <si>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</si>
  <si>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</si>
  <si>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</si>
  <si>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</si>
  <si>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</si>
  <si>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</si>
  <si>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</si>
  <si>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</si>
  <si>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</si>
  <si>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</si>
  <si>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</si>
  <si>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</si>
  <si>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</si>
  <si>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</si>
  <si>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</si>
  <si>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</si>
  <si>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</si>
  <si>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</si>
  <si>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</si>
  <si>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</si>
  <si>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</si>
  <si>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</si>
  <si>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</si>
  <si>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</si>
  <si>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</si>
  <si>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</si>
  <si>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</si>
  <si>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</si>
  <si>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</si>
  <si>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</si>
  <si>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</si>
  <si>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</si>
  <si>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</si>
  <si>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</si>
  <si>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</si>
  <si>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</si>
  <si>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</si>
  <si>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</si>
  <si>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</si>
  <si>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</si>
  <si>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</si>
  <si>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</si>
  <si>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</si>
  <si>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</si>
  <si>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</si>
  <si>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</si>
  <si>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</si>
  <si>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</si>
  <si>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</si>
  <si>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</si>
  <si>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</si>
  <si>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</si>
  <si>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</si>
  <si>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</si>
  <si>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</si>
  <si>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</si>
  <si>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</si>
  <si>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</si>
  <si>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</si>
  <si>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</si>
  <si>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</si>
  <si>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</si>
  <si>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</si>
  <si>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</si>
  <si>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</si>
  <si>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</si>
  <si>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</si>
  <si>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</si>
  <si>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</si>
  <si>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</si>
  <si>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</si>
  <si>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</si>
  <si>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</si>
  <si>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</si>
  <si>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</si>
  <si>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</si>
  <si>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</si>
  <si>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</si>
  <si>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</si>
  <si>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</si>
  <si>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</si>
  <si>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</si>
  <si>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</si>
  <si>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</si>
  <si>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</si>
  <si>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</si>
  <si>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</si>
  <si>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</si>
  <si>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</si>
  <si>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</si>
  <si>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</si>
  <si>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</si>
  <si>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</si>
  <si>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</si>
  <si>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</si>
  <si>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</si>
  <si>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</si>
  <si>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</si>
  <si>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</si>
  <si>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</si>
  <si>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</si>
  <si>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</si>
  <si>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</si>
  <si>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</si>
  <si>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</si>
  <si>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</si>
  <si>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</si>
  <si>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</si>
  <si>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</si>
  <si>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</si>
  <si>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</si>
  <si>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</si>
  <si>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</si>
  <si>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</si>
  <si>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</si>
  <si>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</si>
  <si>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</si>
  <si>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</si>
  <si>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</si>
  <si>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</si>
  <si>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</si>
  <si>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</si>
  <si>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</si>
  <si>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</si>
  <si>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</si>
  <si>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</si>
  <si>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</si>
  <si>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</si>
  <si>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</si>
  <si>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</si>
  <si>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</si>
  <si>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</si>
  <si>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</si>
  <si>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</si>
  <si>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</si>
  <si>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</si>
  <si>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</si>
  <si>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</si>
  <si>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</si>
  <si>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</si>
  <si>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</si>
  <si>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</si>
  <si>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</si>
  <si>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</si>
  <si>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</si>
  <si>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</si>
  <si>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</si>
  <si>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</si>
  <si>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</si>
  <si>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</si>
  <si>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</si>
  <si>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</si>
  <si>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</si>
  <si>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</si>
  <si>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</si>
  <si>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</si>
  <si>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</si>
  <si>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</si>
  <si>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</si>
  <si>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</si>
  <si>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</si>
  <si>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</si>
  <si>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</si>
  <si>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</si>
  <si>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</si>
  <si>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</si>
  <si>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</si>
  <si>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</si>
  <si>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</si>
  <si>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</si>
  <si>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</si>
  <si>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</si>
  <si>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</si>
  <si>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</si>
  <si>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</si>
  <si>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</si>
  <si>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</si>
  <si>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</si>
  <si>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</si>
  <si>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</si>
  <si>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</si>
  <si>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</si>
  <si>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</si>
  <si>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</si>
  <si>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</si>
  <si>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</si>
  <si>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</si>
  <si>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</si>
  <si>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</si>
  <si>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</si>
  <si>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</si>
  <si>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</si>
  <si>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</si>
  <si>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</si>
  <si>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</si>
  <si>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</si>
  <si>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</si>
  <si>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</si>
  <si>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</si>
  <si>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</si>
  <si>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</si>
  <si>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</si>
  <si>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</si>
  <si>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</si>
  <si>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</si>
  <si>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</si>
  <si>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</si>
  <si>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</si>
  <si>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</si>
  <si>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</si>
  <si>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</si>
  <si>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</si>
  <si>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</si>
  <si>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</si>
  <si>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</si>
  <si>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</si>
  <si>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</si>
  <si>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21.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</si>
  <si>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</si>
  <si>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</si>
  <si>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</si>
  <si>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</si>
  <si>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</si>
  <si>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</si>
  <si>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</si>
  <si>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</si>
  <si>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</si>
  <si>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</si>
  <si>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</si>
  <si>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</si>
  <si>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Plan III kw. 2011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</si>
  <si>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</si>
  <si>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</si>
  <si>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</si>
  <si>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</si>
  <si>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</si>
  <si>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</si>
  <si>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</si>
  <si>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</si>
  <si>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</si>
  <si>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</si>
  <si>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</si>
  <si>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</si>
  <si>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</si>
  <si>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</si>
  <si>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</si>
  <si>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</si>
  <si>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</si>
  <si>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</si>
  <si>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</si>
  <si>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</si>
  <si>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</si>
  <si>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</si>
  <si>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</si>
  <si>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</si>
  <si>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</si>
  <si>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</si>
  <si>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</si>
  <si>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</si>
  <si>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</si>
  <si>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</si>
  <si>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</si>
  <si>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</si>
  <si>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</si>
  <si>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</si>
  <si>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</si>
  <si>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</si>
  <si>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</si>
  <si>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</si>
  <si>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</si>
  <si>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</si>
  <si>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</si>
  <si>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</si>
  <si>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</si>
  <si>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</si>
  <si>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</si>
  <si>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</si>
  <si>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</si>
  <si>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</si>
  <si>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</si>
  <si>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</si>
  <si>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</si>
  <si>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</si>
  <si>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</si>
  <si>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</si>
  <si>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</si>
  <si>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</si>
  <si>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</si>
  <si>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</si>
  <si>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</si>
  <si>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</si>
  <si>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</si>
  <si>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</si>
  <si>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</si>
  <si>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</si>
  <si>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</si>
  <si>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</si>
  <si>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</si>
  <si>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</si>
  <si>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</si>
  <si>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</si>
  <si>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</si>
  <si>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</si>
  <si>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</si>
  <si>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</si>
  <si>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1.2.11</t>
  </si>
  <si>
    <t>UG - PRI</t>
  </si>
  <si>
    <t>Zgorzała - Budowa świetlicy   II etap</t>
  </si>
  <si>
    <t xml:space="preserve">Lesznowola - Projekt i rozbudowa ul. Okrężnej na odcinku od ul. Słonecznej do dz. nr. 278 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</si>
  <si>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</si>
  <si>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</si>
  <si>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</si>
  <si>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</si>
  <si>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</si>
  <si>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</si>
  <si>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</si>
  <si>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</si>
  <si>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</si>
  <si>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</si>
  <si>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</si>
  <si>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</si>
  <si>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</si>
  <si>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</si>
  <si>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</si>
  <si>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</si>
  <si>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</si>
  <si>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</si>
  <si>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</si>
  <si>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</si>
  <si>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</si>
  <si>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</si>
  <si>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</si>
  <si>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</si>
  <si>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</si>
  <si>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</si>
  <si>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>Programy, projekty lub zadania                 ( razem)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</si>
  <si>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</si>
  <si>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</si>
  <si>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</si>
  <si>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</si>
  <si>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L A T A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</si>
  <si>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</si>
  <si>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</si>
  <si>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</si>
  <si>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</si>
  <si>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</si>
  <si>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</si>
  <si>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</si>
  <si>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</si>
  <si>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</si>
  <si>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</si>
  <si>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</si>
  <si>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54.671.024,-zł</t>
  </si>
  <si>
    <t>z dnia 9 sierpnia 2012r.</t>
  </si>
  <si>
    <t>Do Uchwały Nr 219/XVIII/2012</t>
  </si>
  <si>
    <t>Odszkodowania za drogi</t>
  </si>
  <si>
    <t>48.</t>
  </si>
  <si>
    <t>49.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</si>
</sst>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0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vertical="center" wrapText="1"/>
    </xf>
    <xf numFmtId="0" fontId="37" fillId="24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top" wrapText="1"/>
    </xf>
    <xf numFmtId="0" fontId="39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35" fillId="2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42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/>
    </xf>
    <xf numFmtId="0" fontId="30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6" fillId="0" borderId="20" xfId="0" applyNumberFormat="1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textRotation="90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22" borderId="21" xfId="0" applyFont="1" applyFill="1" applyBorder="1" applyAlignment="1">
      <alignment horizontal="center" vertical="center"/>
    </xf>
    <xf numFmtId="3" fontId="36" fillId="22" borderId="14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165" fontId="36" fillId="0" borderId="14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" fontId="39" fillId="24" borderId="14" xfId="0" applyNumberFormat="1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/>
    </xf>
    <xf numFmtId="0" fontId="39" fillId="0" borderId="0" xfId="0" applyFont="1" applyAlignment="1">
      <alignment wrapText="1"/>
    </xf>
    <xf numFmtId="3" fontId="39" fillId="0" borderId="0" xfId="0" applyNumberFormat="1" applyFont="1" applyAlignment="1">
      <alignment wrapText="1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6" fillId="0" borderId="27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 wrapText="1"/>
    </xf>
    <xf numFmtId="3" fontId="35" fillId="0" borderId="29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left" vertical="center" wrapText="1"/>
    </xf>
    <xf numFmtId="4" fontId="30" fillId="22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4" borderId="30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left" vertical="center" wrapText="1"/>
    </xf>
    <xf numFmtId="0" fontId="39" fillId="4" borderId="32" xfId="0" applyFont="1" applyFill="1" applyBorder="1" applyAlignment="1">
      <alignment horizontal="center" vertical="center" wrapText="1"/>
    </xf>
    <xf numFmtId="3" fontId="36" fillId="4" borderId="32" xfId="0" applyNumberFormat="1" applyFont="1" applyFill="1" applyBorder="1" applyAlignment="1">
      <alignment horizontal="center" vertical="center" wrapText="1"/>
    </xf>
    <xf numFmtId="3" fontId="35" fillId="4" borderId="32" xfId="0" applyNumberFormat="1" applyFont="1" applyFill="1" applyBorder="1" applyAlignment="1">
      <alignment horizontal="center" vertical="center" wrapText="1"/>
    </xf>
    <xf numFmtId="3" fontId="36" fillId="4" borderId="3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left" vertical="center" wrapText="1"/>
    </xf>
    <xf numFmtId="0" fontId="39" fillId="4" borderId="14" xfId="0" applyFont="1" applyFill="1" applyBorder="1" applyAlignment="1">
      <alignment horizontal="center" vertical="center" wrapText="1"/>
    </xf>
    <xf numFmtId="3" fontId="36" fillId="4" borderId="14" xfId="0" applyNumberFormat="1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6" fillId="4" borderId="35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46" fillId="0" borderId="36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3" fontId="46" fillId="0" borderId="37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46" fillId="0" borderId="38" xfId="0" applyNumberFormat="1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3" fontId="46" fillId="0" borderId="39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46" fillId="0" borderId="40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3" fontId="46" fillId="0" borderId="41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wrapText="1"/>
    </xf>
    <xf numFmtId="3" fontId="48" fillId="25" borderId="14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46" fillId="0" borderId="44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3" fontId="46" fillId="0" borderId="45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right" vertical="center" wrapText="1"/>
    </xf>
    <xf numFmtId="0" fontId="30" fillId="0" borderId="49" xfId="0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46" fillId="0" borderId="49" xfId="0" applyNumberFormat="1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3" fontId="46" fillId="0" borderId="50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2" fontId="30" fillId="0" borderId="34" xfId="0" applyNumberFormat="1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6" fillId="26" borderId="14" xfId="0" applyNumberFormat="1" applyFont="1" applyFill="1" applyBorder="1" applyAlignment="1">
      <alignment horizontal="center" vertical="center"/>
    </xf>
    <xf numFmtId="3" fontId="36" fillId="27" borderId="14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165" fontId="36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3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" fontId="21" fillId="0" borderId="49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/>
    </xf>
    <xf numFmtId="164" fontId="21" fillId="22" borderId="54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18" fillId="22" borderId="38" xfId="0" applyNumberFormat="1" applyFont="1" applyFill="1" applyBorder="1" applyAlignment="1">
      <alignment/>
    </xf>
    <xf numFmtId="164" fontId="21" fillId="22" borderId="55" xfId="0" applyNumberFormat="1" applyFont="1" applyFill="1" applyBorder="1" applyAlignment="1">
      <alignment/>
    </xf>
    <xf numFmtId="1" fontId="21" fillId="22" borderId="49" xfId="0" applyNumberFormat="1" applyFont="1" applyFill="1" applyBorder="1" applyAlignment="1">
      <alignment horizontal="center"/>
    </xf>
    <xf numFmtId="3" fontId="18" fillId="22" borderId="49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52" xfId="0" applyNumberFormat="1" applyFont="1" applyFill="1" applyBorder="1" applyAlignment="1">
      <alignment horizontal="center"/>
    </xf>
    <xf numFmtId="3" fontId="21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/>
    </xf>
    <xf numFmtId="3" fontId="18" fillId="22" borderId="52" xfId="0" applyNumberFormat="1" applyFont="1" applyFill="1" applyBorder="1" applyAlignment="1">
      <alignment/>
    </xf>
    <xf numFmtId="164" fontId="21" fillId="22" borderId="53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21" fillId="22" borderId="44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/>
    </xf>
    <xf numFmtId="3" fontId="21" fillId="22" borderId="38" xfId="0" applyNumberFormat="1" applyFont="1" applyFill="1" applyBorder="1" applyAlignment="1">
      <alignment horizontal="center" vertical="top" wrapText="1"/>
    </xf>
    <xf numFmtId="3" fontId="21" fillId="22" borderId="49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18" fillId="22" borderId="49" xfId="0" applyNumberFormat="1" applyFont="1" applyFill="1" applyBorder="1" applyAlignment="1">
      <alignment horizontal="center" vertical="top" wrapText="1"/>
    </xf>
    <xf numFmtId="3" fontId="21" fillId="22" borderId="52" xfId="0" applyNumberFormat="1" applyFont="1" applyFill="1" applyBorder="1" applyAlignment="1">
      <alignment horizontal="center" vertical="top" wrapText="1"/>
    </xf>
    <xf numFmtId="3" fontId="18" fillId="22" borderId="52" xfId="0" applyNumberFormat="1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3" fontId="18" fillId="22" borderId="61" xfId="0" applyNumberFormat="1" applyFont="1" applyFill="1" applyBorder="1" applyAlignment="1">
      <alignment/>
    </xf>
    <xf numFmtId="3" fontId="18" fillId="22" borderId="59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0" fontId="0" fillId="0" borderId="63" xfId="0" applyBorder="1" applyAlignment="1">
      <alignment/>
    </xf>
    <xf numFmtId="3" fontId="0" fillId="0" borderId="63" xfId="0" applyNumberFormat="1" applyBorder="1" applyAlignment="1">
      <alignment/>
    </xf>
    <xf numFmtId="0" fontId="18" fillId="0" borderId="63" xfId="0" applyFont="1" applyBorder="1" applyAlignment="1">
      <alignment/>
    </xf>
    <xf numFmtId="0" fontId="0" fillId="22" borderId="63" xfId="0" applyNumberFormat="1" applyFill="1" applyBorder="1" applyAlignment="1">
      <alignment/>
    </xf>
    <xf numFmtId="0" fontId="0" fillId="22" borderId="63" xfId="0" applyFill="1" applyBorder="1" applyAlignment="1">
      <alignment/>
    </xf>
    <xf numFmtId="3" fontId="0" fillId="22" borderId="63" xfId="0" applyNumberFormat="1" applyFill="1" applyBorder="1" applyAlignment="1">
      <alignment/>
    </xf>
    <xf numFmtId="0" fontId="0" fillId="0" borderId="63" xfId="0" applyNumberFormat="1" applyBorder="1" applyAlignment="1">
      <alignment/>
    </xf>
    <xf numFmtId="3" fontId="0" fillId="28" borderId="63" xfId="0" applyNumberFormat="1" applyFill="1" applyBorder="1" applyAlignment="1">
      <alignment/>
    </xf>
    <xf numFmtId="0" fontId="18" fillId="28" borderId="64" xfId="0" applyFont="1" applyFill="1" applyBorder="1" applyAlignment="1">
      <alignment/>
    </xf>
    <xf numFmtId="3" fontId="0" fillId="28" borderId="65" xfId="0" applyNumberFormat="1" applyFill="1" applyBorder="1" applyAlignment="1">
      <alignment/>
    </xf>
    <xf numFmtId="0" fontId="0" fillId="28" borderId="66" xfId="0" applyFill="1" applyBorder="1" applyAlignment="1">
      <alignment/>
    </xf>
    <xf numFmtId="0" fontId="0" fillId="28" borderId="67" xfId="0" applyFill="1" applyBorder="1" applyAlignment="1">
      <alignment/>
    </xf>
    <xf numFmtId="0" fontId="0" fillId="28" borderId="63" xfId="0" applyFill="1" applyBorder="1" applyAlignment="1">
      <alignment/>
    </xf>
    <xf numFmtId="0" fontId="18" fillId="28" borderId="63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49" fillId="0" borderId="69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6" fillId="25" borderId="14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47" fillId="29" borderId="14" xfId="0" applyFont="1" applyFill="1" applyBorder="1" applyAlignment="1">
      <alignment horizontal="center" vertical="center" wrapText="1"/>
    </xf>
    <xf numFmtId="3" fontId="48" fillId="30" borderId="35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 wrapText="1"/>
    </xf>
    <xf numFmtId="3" fontId="46" fillId="0" borderId="32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70" xfId="0" applyFont="1" applyFill="1" applyBorder="1" applyAlignment="1">
      <alignment horizontal="left" vertical="center" wrapText="1"/>
    </xf>
    <xf numFmtId="0" fontId="43" fillId="0" borderId="63" xfId="0" applyFont="1" applyBorder="1" applyAlignment="1">
      <alignment vertical="center" wrapText="1"/>
    </xf>
    <xf numFmtId="0" fontId="43" fillId="0" borderId="71" xfId="0" applyFont="1" applyBorder="1" applyAlignment="1">
      <alignment vertical="center" wrapText="1"/>
    </xf>
    <xf numFmtId="0" fontId="5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center" wrapText="1"/>
    </xf>
    <xf numFmtId="0" fontId="30" fillId="31" borderId="16" xfId="0" applyFont="1" applyFill="1" applyBorder="1" applyAlignment="1">
      <alignment horizontal="center" vertical="center" wrapText="1"/>
    </xf>
    <xf numFmtId="0" fontId="46" fillId="31" borderId="16" xfId="0" applyFont="1" applyFill="1" applyBorder="1" applyAlignment="1">
      <alignment horizontal="center" vertical="center" wrapText="1"/>
    </xf>
    <xf numFmtId="3" fontId="51" fillId="31" borderId="16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2" fontId="52" fillId="25" borderId="34" xfId="0" applyNumberFormat="1" applyFont="1" applyFill="1" applyBorder="1" applyAlignment="1">
      <alignment horizontal="left" vertical="center" wrapText="1"/>
    </xf>
    <xf numFmtId="3" fontId="36" fillId="25" borderId="14" xfId="0" applyNumberFormat="1" applyFont="1" applyFill="1" applyBorder="1" applyAlignment="1">
      <alignment horizontal="center" vertical="center" wrapText="1"/>
    </xf>
    <xf numFmtId="166" fontId="35" fillId="25" borderId="13" xfId="0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left" vertical="center" wrapText="1"/>
    </xf>
    <xf numFmtId="166" fontId="51" fillId="25" borderId="13" xfId="0" applyNumberFormat="1" applyFont="1" applyFill="1" applyBorder="1" applyAlignment="1">
      <alignment horizontal="center" vertical="center"/>
    </xf>
    <xf numFmtId="0" fontId="48" fillId="25" borderId="34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center" vertical="center" wrapText="1"/>
    </xf>
    <xf numFmtId="3" fontId="51" fillId="25" borderId="14" xfId="0" applyNumberFormat="1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2" fontId="48" fillId="25" borderId="34" xfId="0" applyNumberFormat="1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5" fillId="32" borderId="29" xfId="0" applyNumberFormat="1" applyFont="1" applyFill="1" applyBorder="1" applyAlignment="1">
      <alignment horizontal="center" vertical="center"/>
    </xf>
    <xf numFmtId="3" fontId="30" fillId="32" borderId="14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3" fontId="35" fillId="32" borderId="14" xfId="0" applyNumberFormat="1" applyFont="1" applyFill="1" applyBorder="1" applyAlignment="1">
      <alignment horizontal="center" vertical="center"/>
    </xf>
    <xf numFmtId="165" fontId="30" fillId="26" borderId="14" xfId="0" applyNumberFormat="1" applyFont="1" applyFill="1" applyBorder="1" applyAlignment="1">
      <alignment horizontal="center" vertical="center"/>
    </xf>
    <xf numFmtId="4" fontId="30" fillId="26" borderId="26" xfId="0" applyNumberFormat="1" applyFont="1" applyFill="1" applyBorder="1" applyAlignment="1">
      <alignment horizontal="center" vertical="center"/>
    </xf>
    <xf numFmtId="3" fontId="35" fillId="33" borderId="29" xfId="0" applyNumberFormat="1" applyFont="1" applyFill="1" applyBorder="1" applyAlignment="1">
      <alignment horizontal="center" vertical="center"/>
    </xf>
    <xf numFmtId="3" fontId="30" fillId="33" borderId="14" xfId="0" applyNumberFormat="1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/>
    </xf>
    <xf numFmtId="4" fontId="30" fillId="33" borderId="14" xfId="0" applyNumberFormat="1" applyFont="1" applyFill="1" applyBorder="1" applyAlignment="1">
      <alignment horizontal="center" vertical="center"/>
    </xf>
    <xf numFmtId="3" fontId="35" fillId="33" borderId="14" xfId="0" applyNumberFormat="1" applyFont="1" applyFill="1" applyBorder="1" applyAlignment="1">
      <alignment horizontal="center" vertical="center"/>
    </xf>
    <xf numFmtId="4" fontId="30" fillId="34" borderId="26" xfId="0" applyNumberFormat="1" applyFont="1" applyFill="1" applyBorder="1" applyAlignment="1">
      <alignment horizontal="center" vertical="center"/>
    </xf>
    <xf numFmtId="3" fontId="46" fillId="35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5" fontId="36" fillId="24" borderId="14" xfId="0" applyNumberFormat="1" applyFont="1" applyFill="1" applyBorder="1" applyAlignment="1">
      <alignment horizontal="center" vertical="center" wrapText="1"/>
    </xf>
    <xf numFmtId="0" fontId="39" fillId="0" borderId="72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center" vertical="center"/>
    </xf>
    <xf numFmtId="3" fontId="36" fillId="32" borderId="19" xfId="0" applyNumberFormat="1" applyFont="1" applyFill="1" applyBorder="1" applyAlignment="1">
      <alignment horizontal="center" vertical="center"/>
    </xf>
    <xf numFmtId="3" fontId="39" fillId="32" borderId="19" xfId="0" applyNumberFormat="1" applyFont="1" applyFill="1" applyBorder="1" applyAlignment="1">
      <alignment horizontal="center" vertical="center"/>
    </xf>
    <xf numFmtId="3" fontId="36" fillId="27" borderId="19" xfId="0" applyNumberFormat="1" applyFont="1" applyFill="1" applyBorder="1" applyAlignment="1">
      <alignment horizontal="center" vertical="center" wrapText="1"/>
    </xf>
    <xf numFmtId="3" fontId="36" fillId="32" borderId="19" xfId="0" applyNumberFormat="1" applyFont="1" applyFill="1" applyBorder="1" applyAlignment="1">
      <alignment horizontal="center" vertical="center" wrapText="1"/>
    </xf>
    <xf numFmtId="4" fontId="36" fillId="32" borderId="19" xfId="0" applyNumberFormat="1" applyFont="1" applyFill="1" applyBorder="1" applyAlignment="1">
      <alignment horizontal="center" vertical="center" wrapText="1"/>
    </xf>
    <xf numFmtId="165" fontId="36" fillId="32" borderId="19" xfId="0" applyNumberFormat="1" applyFont="1" applyFill="1" applyBorder="1" applyAlignment="1">
      <alignment horizontal="center" vertical="center" wrapText="1"/>
    </xf>
    <xf numFmtId="3" fontId="36" fillId="32" borderId="73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center" vertical="center"/>
    </xf>
    <xf numFmtId="3" fontId="36" fillId="22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Fill="1" applyBorder="1" applyAlignment="1">
      <alignment horizontal="center" vertical="center"/>
    </xf>
    <xf numFmtId="4" fontId="36" fillId="0" borderId="34" xfId="0" applyNumberFormat="1" applyFont="1" applyFill="1" applyBorder="1" applyAlignment="1">
      <alignment horizontal="center" vertical="center" wrapText="1"/>
    </xf>
    <xf numFmtId="165" fontId="36" fillId="0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 wrapText="1"/>
    </xf>
    <xf numFmtId="3" fontId="36" fillId="0" borderId="74" xfId="0" applyNumberFormat="1" applyFont="1" applyBorder="1" applyAlignment="1">
      <alignment horizontal="center" vertical="center" wrapText="1"/>
    </xf>
    <xf numFmtId="3" fontId="36" fillId="33" borderId="21" xfId="0" applyNumberFormat="1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36" fillId="34" borderId="21" xfId="0" applyNumberFormat="1" applyFont="1" applyFill="1" applyBorder="1" applyAlignment="1">
      <alignment horizontal="center" vertical="center" wrapText="1"/>
    </xf>
    <xf numFmtId="3" fontId="36" fillId="33" borderId="21" xfId="0" applyNumberFormat="1" applyFont="1" applyFill="1" applyBorder="1" applyAlignment="1">
      <alignment horizontal="center" vertical="center" wrapText="1"/>
    </xf>
    <xf numFmtId="4" fontId="36" fillId="33" borderId="21" xfId="0" applyNumberFormat="1" applyFont="1" applyFill="1" applyBorder="1" applyAlignment="1">
      <alignment horizontal="center" vertical="center" wrapText="1"/>
    </xf>
    <xf numFmtId="165" fontId="36" fillId="33" borderId="21" xfId="0" applyNumberFormat="1" applyFont="1" applyFill="1" applyBorder="1" applyAlignment="1">
      <alignment horizontal="center" vertical="center" wrapText="1"/>
    </xf>
    <xf numFmtId="3" fontId="39" fillId="33" borderId="21" xfId="0" applyNumberFormat="1" applyFont="1" applyFill="1" applyBorder="1" applyAlignment="1">
      <alignment horizontal="center" vertical="center" wrapText="1"/>
    </xf>
    <xf numFmtId="3" fontId="36" fillId="33" borderId="75" xfId="0" applyNumberFormat="1" applyFont="1" applyFill="1" applyBorder="1" applyAlignment="1">
      <alignment horizontal="center" vertical="center" wrapText="1"/>
    </xf>
    <xf numFmtId="3" fontId="39" fillId="32" borderId="19" xfId="0" applyNumberFormat="1" applyFont="1" applyFill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77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78" xfId="0" applyFont="1" applyBorder="1" applyAlignment="1">
      <alignment vertical="center" wrapText="1"/>
    </xf>
    <xf numFmtId="0" fontId="43" fillId="0" borderId="68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6" fillId="32" borderId="14" xfId="0" applyNumberFormat="1" applyFont="1" applyFill="1" applyBorder="1" applyAlignment="1">
      <alignment horizontal="center" vertical="center" wrapText="1"/>
    </xf>
    <xf numFmtId="3" fontId="30" fillId="32" borderId="14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right" vertical="center" wrapText="1"/>
    </xf>
    <xf numFmtId="3" fontId="47" fillId="29" borderId="14" xfId="0" applyNumberFormat="1" applyFont="1" applyFill="1" applyBorder="1" applyAlignment="1">
      <alignment horizontal="center" vertical="center" wrapText="1"/>
    </xf>
    <xf numFmtId="4" fontId="36" fillId="33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/>
    </xf>
    <xf numFmtId="3" fontId="36" fillId="0" borderId="79" xfId="0" applyNumberFormat="1" applyFont="1" applyFill="1" applyBorder="1" applyAlignment="1">
      <alignment horizontal="center" vertical="center" wrapText="1"/>
    </xf>
    <xf numFmtId="3" fontId="23" fillId="0" borderId="7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vertical="center" wrapText="1"/>
    </xf>
    <xf numFmtId="0" fontId="54" fillId="36" borderId="26" xfId="0" applyFont="1" applyFill="1" applyBorder="1" applyAlignment="1">
      <alignment horizontal="center" vertical="center" wrapText="1"/>
    </xf>
    <xf numFmtId="3" fontId="36" fillId="37" borderId="32" xfId="0" applyNumberFormat="1" applyFont="1" applyFill="1" applyBorder="1" applyAlignment="1">
      <alignment horizontal="center" vertical="center" wrapText="1"/>
    </xf>
    <xf numFmtId="3" fontId="46" fillId="38" borderId="14" xfId="0" applyNumberFormat="1" applyFont="1" applyFill="1" applyBorder="1" applyAlignment="1">
      <alignment horizontal="center" vertical="center" wrapText="1"/>
    </xf>
    <xf numFmtId="3" fontId="36" fillId="37" borderId="14" xfId="0" applyNumberFormat="1" applyFont="1" applyFill="1" applyBorder="1" applyAlignment="1">
      <alignment horizontal="center" vertical="center" wrapText="1"/>
    </xf>
    <xf numFmtId="3" fontId="30" fillId="38" borderId="36" xfId="0" applyNumberFormat="1" applyFont="1" applyFill="1" applyBorder="1" applyAlignment="1">
      <alignment horizontal="center" vertical="center" wrapText="1"/>
    </xf>
    <xf numFmtId="3" fontId="30" fillId="38" borderId="38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>
      <alignment horizontal="center" vertical="center" wrapText="1"/>
    </xf>
    <xf numFmtId="3" fontId="30" fillId="38" borderId="32" xfId="0" applyNumberFormat="1" applyFont="1" applyFill="1" applyBorder="1" applyAlignment="1">
      <alignment horizontal="center" vertical="center" wrapText="1"/>
    </xf>
    <xf numFmtId="3" fontId="30" fillId="38" borderId="14" xfId="0" applyNumberFormat="1" applyFont="1" applyFill="1" applyBorder="1" applyAlignment="1">
      <alignment horizontal="center" vertical="center" wrapText="1"/>
    </xf>
    <xf numFmtId="3" fontId="30" fillId="38" borderId="16" xfId="0" applyNumberFormat="1" applyFont="1" applyFill="1" applyBorder="1" applyAlignment="1">
      <alignment horizontal="center" vertical="center" wrapText="1"/>
    </xf>
    <xf numFmtId="3" fontId="46" fillId="38" borderId="36" xfId="0" applyNumberFormat="1" applyFont="1" applyFill="1" applyBorder="1" applyAlignment="1">
      <alignment horizontal="center" vertical="center" wrapText="1"/>
    </xf>
    <xf numFmtId="3" fontId="46" fillId="38" borderId="38" xfId="0" applyNumberFormat="1" applyFont="1" applyFill="1" applyBorder="1" applyAlignment="1">
      <alignment horizontal="center" vertical="center" wrapText="1"/>
    </xf>
    <xf numFmtId="3" fontId="46" fillId="38" borderId="40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 quotePrefix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3" fillId="0" borderId="80" xfId="0" applyFont="1" applyBorder="1" applyAlignment="1">
      <alignment vertical="center" wrapText="1"/>
    </xf>
    <xf numFmtId="3" fontId="46" fillId="0" borderId="8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51" fillId="38" borderId="16" xfId="0" applyNumberFormat="1" applyFont="1" applyFill="1" applyBorder="1" applyAlignment="1">
      <alignment horizontal="center" vertical="center" wrapText="1"/>
    </xf>
    <xf numFmtId="3" fontId="30" fillId="38" borderId="44" xfId="0" applyNumberFormat="1" applyFont="1" applyFill="1" applyBorder="1" applyAlignment="1">
      <alignment horizontal="center" vertical="center" wrapText="1"/>
    </xf>
    <xf numFmtId="3" fontId="30" fillId="38" borderId="49" xfId="0" applyNumberFormat="1" applyFont="1" applyFill="1" applyBorder="1" applyAlignment="1">
      <alignment horizontal="center" vertical="center" wrapText="1"/>
    </xf>
    <xf numFmtId="3" fontId="30" fillId="38" borderId="51" xfId="0" applyNumberFormat="1" applyFont="1" applyFill="1" applyBorder="1" applyAlignment="1">
      <alignment horizontal="center" vertical="center" wrapText="1"/>
    </xf>
    <xf numFmtId="3" fontId="30" fillId="38" borderId="5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vertical="top" wrapText="1"/>
    </xf>
    <xf numFmtId="0" fontId="30" fillId="0" borderId="14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3" fillId="0" borderId="82" xfId="0" applyFont="1" applyBorder="1" applyAlignment="1">
      <alignment vertical="center" wrapText="1"/>
    </xf>
    <xf numFmtId="0" fontId="43" fillId="0" borderId="83" xfId="0" applyFont="1" applyBorder="1" applyAlignment="1">
      <alignment vertical="center" wrapText="1"/>
    </xf>
    <xf numFmtId="3" fontId="46" fillId="0" borderId="84" xfId="0" applyNumberFormat="1" applyFont="1" applyBorder="1" applyAlignment="1">
      <alignment horizontal="center" vertical="center"/>
    </xf>
    <xf numFmtId="0" fontId="35" fillId="39" borderId="85" xfId="0" applyFont="1" applyFill="1" applyBorder="1" applyAlignment="1">
      <alignment horizontal="center" vertical="center"/>
    </xf>
    <xf numFmtId="0" fontId="35" fillId="39" borderId="86" xfId="0" applyFont="1" applyFill="1" applyBorder="1" applyAlignment="1">
      <alignment horizontal="left" vertical="center" wrapText="1"/>
    </xf>
    <xf numFmtId="0" fontId="36" fillId="39" borderId="87" xfId="0" applyFont="1" applyFill="1" applyBorder="1" applyAlignment="1">
      <alignment horizontal="center" vertical="center" wrapText="1"/>
    </xf>
    <xf numFmtId="0" fontId="39" fillId="39" borderId="87" xfId="0" applyFont="1" applyFill="1" applyBorder="1" applyAlignment="1">
      <alignment horizontal="center" vertical="center" wrapText="1"/>
    </xf>
    <xf numFmtId="3" fontId="36" fillId="39" borderId="87" xfId="0" applyNumberFormat="1" applyFont="1" applyFill="1" applyBorder="1" applyAlignment="1">
      <alignment horizontal="center" vertical="center" wrapText="1"/>
    </xf>
    <xf numFmtId="3" fontId="48" fillId="40" borderId="88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3" fillId="0" borderId="80" xfId="0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0" fontId="36" fillId="22" borderId="89" xfId="0" applyNumberFormat="1" applyFont="1" applyFill="1" applyBorder="1" applyAlignment="1">
      <alignment horizontal="center" vertical="center"/>
    </xf>
    <xf numFmtId="3" fontId="36" fillId="22" borderId="89" xfId="0" applyNumberFormat="1" applyFont="1" applyFill="1" applyBorder="1" applyAlignment="1">
      <alignment horizontal="center" vertical="center" wrapText="1"/>
    </xf>
    <xf numFmtId="0" fontId="36" fillId="26" borderId="89" xfId="0" applyNumberFormat="1" applyFont="1" applyFill="1" applyBorder="1" applyAlignment="1">
      <alignment horizontal="center" vertical="center"/>
    </xf>
    <xf numFmtId="0" fontId="36" fillId="34" borderId="89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top" wrapText="1"/>
    </xf>
    <xf numFmtId="1" fontId="31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2" fillId="0" borderId="11" xfId="0" applyNumberFormat="1" applyFont="1" applyBorder="1" applyAlignment="1">
      <alignment horizontal="center" vertical="top" wrapText="1"/>
    </xf>
    <xf numFmtId="3" fontId="31" fillId="0" borderId="57" xfId="0" applyNumberFormat="1" applyFont="1" applyBorder="1" applyAlignment="1">
      <alignment horizontal="center" vertical="top" wrapText="1"/>
    </xf>
    <xf numFmtId="3" fontId="31" fillId="0" borderId="14" xfId="0" applyNumberFormat="1" applyFont="1" applyFill="1" applyBorder="1" applyAlignment="1">
      <alignment horizontal="center" vertical="top" wrapText="1"/>
    </xf>
    <xf numFmtId="3" fontId="31" fillId="0" borderId="68" xfId="0" applyNumberFormat="1" applyFont="1" applyFill="1" applyBorder="1" applyAlignment="1">
      <alignment horizontal="center" vertical="top" wrapText="1"/>
    </xf>
    <xf numFmtId="3" fontId="31" fillId="28" borderId="63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68" xfId="0" applyNumberFormat="1" applyFont="1" applyFill="1" applyBorder="1" applyAlignment="1">
      <alignment/>
    </xf>
    <xf numFmtId="3" fontId="0" fillId="28" borderId="63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28" borderId="71" xfId="0" applyFont="1" applyFill="1" applyBorder="1" applyAlignment="1">
      <alignment/>
    </xf>
    <xf numFmtId="164" fontId="18" fillId="0" borderId="53" xfId="0" applyNumberFormat="1" applyFont="1" applyBorder="1" applyAlignment="1">
      <alignment/>
    </xf>
    <xf numFmtId="1" fontId="18" fillId="0" borderId="44" xfId="0" applyNumberFormat="1" applyFont="1" applyBorder="1" applyAlignment="1">
      <alignment horizontal="center"/>
    </xf>
    <xf numFmtId="164" fontId="18" fillId="0" borderId="54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0" fontId="0" fillId="28" borderId="90" xfId="0" applyFont="1" applyFill="1" applyBorder="1" applyAlignment="1">
      <alignment/>
    </xf>
    <xf numFmtId="164" fontId="18" fillId="0" borderId="55" xfId="0" applyNumberFormat="1" applyFont="1" applyBorder="1" applyAlignment="1">
      <alignment/>
    </xf>
    <xf numFmtId="1" fontId="18" fillId="0" borderId="49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28" borderId="65" xfId="0" applyNumberFormat="1" applyFont="1" applyFill="1" applyBorder="1" applyAlignment="1">
      <alignment/>
    </xf>
    <xf numFmtId="3" fontId="0" fillId="28" borderId="64" xfId="0" applyNumberFormat="1" applyFont="1" applyFill="1" applyBorder="1" applyAlignment="1">
      <alignment/>
    </xf>
    <xf numFmtId="3" fontId="0" fillId="28" borderId="90" xfId="0" applyNumberFormat="1" applyFont="1" applyFill="1" applyBorder="1" applyAlignment="1">
      <alignment/>
    </xf>
    <xf numFmtId="164" fontId="18" fillId="22" borderId="54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164" fontId="18" fillId="22" borderId="56" xfId="0" applyNumberFormat="1" applyFont="1" applyFill="1" applyBorder="1" applyAlignment="1">
      <alignment/>
    </xf>
    <xf numFmtId="1" fontId="18" fillId="22" borderId="52" xfId="0" applyNumberFormat="1" applyFont="1" applyFill="1" applyBorder="1" applyAlignment="1">
      <alignment horizontal="center"/>
    </xf>
    <xf numFmtId="3" fontId="0" fillId="28" borderId="91" xfId="0" applyNumberFormat="1" applyFont="1" applyFill="1" applyBorder="1" applyAlignment="1">
      <alignment/>
    </xf>
    <xf numFmtId="164" fontId="18" fillId="22" borderId="53" xfId="0" applyNumberFormat="1" applyFont="1" applyFill="1" applyBorder="1" applyAlignment="1">
      <alignment/>
    </xf>
    <xf numFmtId="1" fontId="18" fillId="22" borderId="44" xfId="0" applyNumberFormat="1" applyFont="1" applyFill="1" applyBorder="1" applyAlignment="1">
      <alignment horizontal="center"/>
    </xf>
    <xf numFmtId="164" fontId="18" fillId="22" borderId="55" xfId="0" applyNumberFormat="1" applyFont="1" applyFill="1" applyBorder="1" applyAlignment="1">
      <alignment/>
    </xf>
    <xf numFmtId="1" fontId="18" fillId="22" borderId="49" xfId="0" applyNumberFormat="1" applyFont="1" applyFill="1" applyBorder="1" applyAlignment="1">
      <alignment horizontal="center"/>
    </xf>
    <xf numFmtId="164" fontId="18" fillId="0" borderId="56" xfId="0" applyNumberFormat="1" applyFont="1" applyBorder="1" applyAlignment="1">
      <alignment/>
    </xf>
    <xf numFmtId="1" fontId="18" fillId="0" borderId="52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82" xfId="0" applyNumberFormat="1" applyFont="1" applyFill="1" applyBorder="1" applyAlignment="1">
      <alignment/>
    </xf>
    <xf numFmtId="0" fontId="30" fillId="0" borderId="23" xfId="0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3" fontId="30" fillId="38" borderId="23" xfId="0" applyNumberFormat="1" applyFont="1" applyFill="1" applyBorder="1" applyAlignment="1">
      <alignment horizontal="center" vertical="center" wrapText="1"/>
    </xf>
    <xf numFmtId="3" fontId="46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38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3" fontId="35" fillId="32" borderId="14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66" xfId="0" applyFill="1" applyBorder="1" applyAlignment="1">
      <alignment/>
    </xf>
    <xf numFmtId="0" fontId="0" fillId="28" borderId="67" xfId="0" applyFill="1" applyBorder="1" applyAlignment="1">
      <alignment/>
    </xf>
    <xf numFmtId="0" fontId="0" fillId="0" borderId="7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82" xfId="0" applyBorder="1" applyAlignment="1">
      <alignment vertical="center"/>
    </xf>
    <xf numFmtId="164" fontId="19" fillId="0" borderId="93" xfId="0" applyNumberFormat="1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 wrapText="1"/>
    </xf>
    <xf numFmtId="0" fontId="0" fillId="0" borderId="95" xfId="0" applyBorder="1" applyAlignment="1">
      <alignment horizontal="center" vertical="top" wrapText="1"/>
    </xf>
    <xf numFmtId="0" fontId="42" fillId="4" borderId="94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36" fillId="22" borderId="32" xfId="0" applyFont="1" applyFill="1" applyBorder="1" applyAlignment="1">
      <alignment horizontal="center" vertical="center" wrapText="1"/>
    </xf>
    <xf numFmtId="0" fontId="36" fillId="22" borderId="14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96" xfId="0" applyFont="1" applyFill="1" applyBorder="1" applyAlignment="1">
      <alignment horizontal="left" vertical="center" wrapText="1"/>
    </xf>
    <xf numFmtId="0" fontId="36" fillId="22" borderId="97" xfId="0" applyFont="1" applyFill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6" fillId="22" borderId="29" xfId="0" applyFont="1" applyFill="1" applyBorder="1" applyAlignment="1">
      <alignment horizontal="center" vertical="center"/>
    </xf>
    <xf numFmtId="0" fontId="36" fillId="22" borderId="1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6" fillId="26" borderId="100" xfId="0" applyFont="1" applyFill="1" applyBorder="1" applyAlignment="1">
      <alignment horizontal="center" vertical="center" wrapText="1"/>
    </xf>
    <xf numFmtId="0" fontId="36" fillId="26" borderId="33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textRotation="90"/>
    </xf>
    <xf numFmtId="0" fontId="36" fillId="22" borderId="13" xfId="0" applyFont="1" applyFill="1" applyBorder="1" applyAlignment="1">
      <alignment horizontal="left" vertical="center" wrapText="1"/>
    </xf>
    <xf numFmtId="0" fontId="36" fillId="22" borderId="22" xfId="0" applyFont="1" applyFill="1" applyBorder="1" applyAlignment="1">
      <alignment horizontal="left" vertical="center" wrapText="1"/>
    </xf>
    <xf numFmtId="0" fontId="36" fillId="22" borderId="89" xfId="0" applyFont="1" applyFill="1" applyBorder="1" applyAlignment="1">
      <alignment horizontal="center" vertical="center"/>
    </xf>
    <xf numFmtId="0" fontId="36" fillId="22" borderId="98" xfId="0" applyFont="1" applyFill="1" applyBorder="1" applyAlignment="1">
      <alignment horizontal="center" vertical="center" wrapText="1"/>
    </xf>
    <xf numFmtId="0" fontId="36" fillId="22" borderId="99" xfId="0" applyFont="1" applyFill="1" applyBorder="1" applyAlignment="1">
      <alignment horizontal="center" vertical="center" wrapText="1"/>
    </xf>
    <xf numFmtId="0" fontId="36" fillId="22" borderId="96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73" xfId="0" applyFont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72" xfId="0" applyFont="1" applyBorder="1" applyAlignment="1">
      <alignment vertical="center"/>
    </xf>
    <xf numFmtId="0" fontId="39" fillId="0" borderId="22" xfId="0" applyFont="1" applyBorder="1" applyAlignment="1">
      <alignment vertical="center" wrapText="1"/>
    </xf>
    <xf numFmtId="0" fontId="39" fillId="0" borderId="22" xfId="0" applyFont="1" applyBorder="1" applyAlignment="1">
      <alignment horizontal="left" vertical="center"/>
    </xf>
    <xf numFmtId="0" fontId="39" fillId="0" borderId="72" xfId="0" applyFont="1" applyBorder="1" applyAlignment="1">
      <alignment horizontal="left" vertical="center"/>
    </xf>
    <xf numFmtId="0" fontId="36" fillId="22" borderId="34" xfId="0" applyFont="1" applyFill="1" applyBorder="1" applyAlignment="1">
      <alignment horizontal="center" vertical="center"/>
    </xf>
    <xf numFmtId="0" fontId="36" fillId="22" borderId="32" xfId="0" applyFont="1" applyFill="1" applyBorder="1" applyAlignment="1">
      <alignment horizontal="center" vertical="center"/>
    </xf>
    <xf numFmtId="0" fontId="36" fillId="22" borderId="89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textRotation="90" wrapText="1"/>
    </xf>
    <xf numFmtId="0" fontId="39" fillId="0" borderId="46" xfId="0" applyFont="1" applyFill="1" applyBorder="1" applyAlignment="1">
      <alignment horizontal="center" vertical="center" textRotation="90" wrapText="1"/>
    </xf>
    <xf numFmtId="0" fontId="39" fillId="0" borderId="30" xfId="0" applyFont="1" applyFill="1" applyBorder="1" applyAlignment="1">
      <alignment horizontal="center" vertical="center" textRotation="90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textRotation="90" wrapText="1"/>
    </xf>
    <xf numFmtId="0" fontId="39" fillId="0" borderId="13" xfId="0" applyFont="1" applyBorder="1" applyAlignment="1">
      <alignment horizontal="center" vertical="center" textRotation="90"/>
    </xf>
    <xf numFmtId="0" fontId="36" fillId="22" borderId="103" xfId="0" applyFont="1" applyFill="1" applyBorder="1" applyAlignment="1">
      <alignment horizontal="center" vertical="center" wrapText="1"/>
    </xf>
    <xf numFmtId="0" fontId="36" fillId="22" borderId="104" xfId="0" applyFont="1" applyFill="1" applyBorder="1" applyAlignment="1">
      <alignment horizontal="center" vertical="center" wrapText="1"/>
    </xf>
    <xf numFmtId="0" fontId="36" fillId="22" borderId="105" xfId="0" applyFont="1" applyFill="1" applyBorder="1" applyAlignment="1">
      <alignment horizontal="center" vertical="center" wrapText="1"/>
    </xf>
    <xf numFmtId="0" fontId="36" fillId="22" borderId="106" xfId="0" applyFont="1" applyFill="1" applyBorder="1" applyAlignment="1">
      <alignment horizontal="center" vertical="center" wrapText="1"/>
    </xf>
    <xf numFmtId="0" fontId="36" fillId="22" borderId="0" xfId="0" applyFont="1" applyFill="1" applyBorder="1" applyAlignment="1">
      <alignment horizontal="center" vertical="center" wrapText="1"/>
    </xf>
    <xf numFmtId="0" fontId="36" fillId="22" borderId="107" xfId="0" applyFont="1" applyFill="1" applyBorder="1" applyAlignment="1">
      <alignment horizontal="center" vertical="center" wrapText="1"/>
    </xf>
    <xf numFmtId="0" fontId="36" fillId="22" borderId="94" xfId="0" applyFont="1" applyFill="1" applyBorder="1" applyAlignment="1">
      <alignment horizontal="center" vertical="center" wrapText="1"/>
    </xf>
    <xf numFmtId="0" fontId="36" fillId="22" borderId="108" xfId="0" applyFont="1" applyFill="1" applyBorder="1" applyAlignment="1">
      <alignment horizontal="center" vertical="center"/>
    </xf>
    <xf numFmtId="0" fontId="36" fillId="22" borderId="27" xfId="0" applyFont="1" applyFill="1" applyBorder="1" applyAlignment="1">
      <alignment horizontal="center" vertical="center"/>
    </xf>
    <xf numFmtId="0" fontId="36" fillId="22" borderId="109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6" borderId="110" xfId="0" applyFont="1" applyFill="1" applyBorder="1" applyAlignment="1">
      <alignment horizontal="center" vertical="center" wrapText="1"/>
    </xf>
    <xf numFmtId="0" fontId="36" fillId="26" borderId="29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2" borderId="111" xfId="0" applyFont="1" applyFill="1" applyBorder="1" applyAlignment="1">
      <alignment horizontal="center" vertical="center"/>
    </xf>
    <xf numFmtId="0" fontId="36" fillId="34" borderId="112" xfId="0" applyFont="1" applyFill="1" applyBorder="1" applyAlignment="1">
      <alignment horizontal="center" vertical="center"/>
    </xf>
    <xf numFmtId="0" fontId="42" fillId="4" borderId="94" xfId="0" applyFont="1" applyFill="1" applyBorder="1" applyAlignment="1">
      <alignment horizontal="center" vertical="top"/>
    </xf>
    <xf numFmtId="0" fontId="36" fillId="22" borderId="10" xfId="0" applyFont="1" applyFill="1" applyBorder="1" applyAlignment="1">
      <alignment horizontal="center" vertical="center"/>
    </xf>
    <xf numFmtId="0" fontId="41" fillId="22" borderId="57" xfId="0" applyFont="1" applyFill="1" applyBorder="1" applyAlignment="1">
      <alignment horizontal="center" vertical="center"/>
    </xf>
    <xf numFmtId="0" fontId="39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1" fillId="22" borderId="11" xfId="0" applyFont="1" applyFill="1" applyBorder="1" applyAlignment="1">
      <alignment horizontal="center" vertical="center"/>
    </xf>
    <xf numFmtId="0" fontId="35" fillId="22" borderId="110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center" wrapText="1"/>
    </xf>
    <xf numFmtId="0" fontId="35" fillId="22" borderId="1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5" fillId="22" borderId="43" xfId="0" applyFont="1" applyFill="1" applyBorder="1" applyAlignment="1">
      <alignment horizontal="center" vertical="center"/>
    </xf>
    <xf numFmtId="0" fontId="35" fillId="22" borderId="46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22" borderId="69" xfId="0" applyFont="1" applyFill="1" applyBorder="1" applyAlignment="1">
      <alignment horizontal="center" vertical="center"/>
    </xf>
    <xf numFmtId="0" fontId="35" fillId="22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5" fillId="22" borderId="69" xfId="0" applyFont="1" applyFill="1" applyBorder="1" applyAlignment="1">
      <alignment horizontal="center" vertical="center" wrapText="1"/>
    </xf>
    <xf numFmtId="0" fontId="55" fillId="2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6" fillId="22" borderId="2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5" fillId="22" borderId="69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5" fillId="22" borderId="16" xfId="0" applyFont="1" applyFill="1" applyBorder="1" applyAlignment="1">
      <alignment horizontal="center" vertical="center" wrapText="1"/>
    </xf>
    <xf numFmtId="0" fontId="44" fillId="4" borderId="108" xfId="0" applyFont="1" applyFill="1" applyBorder="1" applyAlignment="1">
      <alignment horizontal="center" vertical="center"/>
    </xf>
    <xf numFmtId="0" fontId="44" fillId="4" borderId="109" xfId="0" applyFont="1" applyFill="1" applyBorder="1" applyAlignment="1">
      <alignment horizontal="center" vertical="center"/>
    </xf>
    <xf numFmtId="0" fontId="35" fillId="22" borderId="29" xfId="0" applyFont="1" applyFill="1" applyBorder="1" applyAlignment="1">
      <alignment horizontal="center" vertical="center" wrapText="1"/>
    </xf>
    <xf numFmtId="0" fontId="46" fillId="31" borderId="16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30" fillId="0" borderId="16" xfId="0" applyFont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67" t="s">
        <v>225</v>
      </c>
      <c r="B1" s="567"/>
      <c r="C1" s="567"/>
      <c r="D1" s="567"/>
      <c r="E1" s="567"/>
      <c r="F1" s="567"/>
      <c r="G1" s="567"/>
    </row>
    <row r="2" spans="1:11" ht="21.75" customHeight="1" thickBot="1">
      <c r="A2" s="496" t="s">
        <v>0</v>
      </c>
      <c r="B2" s="497"/>
      <c r="C2" s="498" t="s">
        <v>1</v>
      </c>
      <c r="D2" s="498" t="s">
        <v>2</v>
      </c>
      <c r="E2" s="499" t="s">
        <v>3</v>
      </c>
      <c r="F2" s="498" t="s">
        <v>4</v>
      </c>
      <c r="G2" s="500" t="s">
        <v>5</v>
      </c>
      <c r="H2" s="501" t="s">
        <v>219</v>
      </c>
      <c r="I2" s="502" t="s">
        <v>3</v>
      </c>
      <c r="J2" s="503" t="s">
        <v>221</v>
      </c>
      <c r="K2" s="503" t="s">
        <v>3</v>
      </c>
    </row>
    <row r="3" spans="1:11" ht="12.75">
      <c r="A3" s="504" t="s">
        <v>6</v>
      </c>
      <c r="B3" s="505">
        <v>90</v>
      </c>
      <c r="C3" s="506">
        <v>0</v>
      </c>
      <c r="D3" s="12">
        <v>0</v>
      </c>
      <c r="E3" s="13">
        <v>0</v>
      </c>
      <c r="F3" s="13">
        <v>0</v>
      </c>
      <c r="G3" s="267"/>
      <c r="H3" s="507">
        <v>2141585</v>
      </c>
      <c r="I3" s="508">
        <v>733601</v>
      </c>
      <c r="J3" s="509">
        <f>H3+'spł poż'!F8</f>
        <v>2191585</v>
      </c>
      <c r="K3" s="509">
        <f>I3+'spł poż'!G8</f>
        <v>907289</v>
      </c>
    </row>
    <row r="4" spans="1:11" ht="0.75" customHeight="1" thickBot="1">
      <c r="A4" s="510" t="s">
        <v>7</v>
      </c>
      <c r="B4" s="511">
        <v>90</v>
      </c>
      <c r="C4" s="512">
        <f>C3</f>
        <v>0</v>
      </c>
      <c r="D4" s="12">
        <v>0</v>
      </c>
      <c r="E4" s="227">
        <f>B4*C4*5.5%/360</f>
        <v>0</v>
      </c>
      <c r="F4" s="227">
        <v>0</v>
      </c>
      <c r="G4" s="268">
        <f>E3+E4</f>
        <v>0</v>
      </c>
      <c r="H4" s="513"/>
      <c r="I4" s="514"/>
      <c r="J4" s="515"/>
      <c r="K4" s="515"/>
    </row>
    <row r="5" spans="1:36" s="2" customFormat="1" ht="12.75">
      <c r="A5" s="516" t="s">
        <v>8</v>
      </c>
      <c r="B5" s="517">
        <v>90</v>
      </c>
      <c r="C5" s="231">
        <f>C4-D4</f>
        <v>0</v>
      </c>
      <c r="D5" s="231">
        <v>0</v>
      </c>
      <c r="E5" s="232">
        <f>B5*C5*5.5%/360</f>
        <v>0</v>
      </c>
      <c r="F5" s="232"/>
      <c r="G5" s="269"/>
      <c r="H5" s="292"/>
      <c r="I5" s="293"/>
      <c r="J5" s="284"/>
      <c r="K5" s="28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518" t="s">
        <v>9</v>
      </c>
      <c r="B6" s="519">
        <v>90</v>
      </c>
      <c r="C6" s="236">
        <f>C5-D5</f>
        <v>0</v>
      </c>
      <c r="D6" s="236">
        <v>0</v>
      </c>
      <c r="E6" s="237">
        <f>B6*C6*5.5%/360</f>
        <v>0</v>
      </c>
      <c r="F6" s="237"/>
      <c r="G6" s="270"/>
      <c r="H6" s="513"/>
      <c r="I6" s="514"/>
      <c r="J6" s="520"/>
      <c r="K6" s="520"/>
    </row>
    <row r="7" spans="1:11" ht="12.75">
      <c r="A7" s="518" t="s">
        <v>10</v>
      </c>
      <c r="B7" s="519">
        <v>90</v>
      </c>
      <c r="C7" s="236">
        <v>10000000</v>
      </c>
      <c r="D7" s="236">
        <v>0</v>
      </c>
      <c r="E7" s="237">
        <f>B7*C7*7%/360</f>
        <v>175000.00000000003</v>
      </c>
      <c r="F7" s="237"/>
      <c r="G7" s="270"/>
      <c r="H7" s="513"/>
      <c r="I7" s="514"/>
      <c r="J7" s="520"/>
      <c r="K7" s="520"/>
    </row>
    <row r="8" spans="1:11" ht="13.5" thickBot="1">
      <c r="A8" s="521" t="s">
        <v>11</v>
      </c>
      <c r="B8" s="522">
        <v>90</v>
      </c>
      <c r="C8" s="241">
        <v>10000000</v>
      </c>
      <c r="D8" s="241">
        <v>0</v>
      </c>
      <c r="E8" s="237">
        <f>B8*C8*7%/360</f>
        <v>175000.00000000003</v>
      </c>
      <c r="F8" s="242">
        <f>D6+D7+D8</f>
        <v>0</v>
      </c>
      <c r="G8" s="271">
        <f>SUM(E5:E8)</f>
        <v>350000.00000000006</v>
      </c>
      <c r="H8" s="523">
        <v>3485040</v>
      </c>
      <c r="I8" s="524">
        <v>697952</v>
      </c>
      <c r="J8" s="525">
        <f>H8+F8+'spł poż'!F8</f>
        <v>3535040</v>
      </c>
      <c r="K8" s="525">
        <f>I8+G8+'spł poż'!G8</f>
        <v>1221640</v>
      </c>
    </row>
    <row r="9" spans="1:11" ht="12.75">
      <c r="A9" s="516" t="s">
        <v>12</v>
      </c>
      <c r="B9" s="517">
        <v>90</v>
      </c>
      <c r="C9" s="231">
        <f>C8-D8</f>
        <v>10000000</v>
      </c>
      <c r="D9" s="231"/>
      <c r="E9" s="232">
        <f>B9*C9*0.07/360</f>
        <v>175000.00000000003</v>
      </c>
      <c r="F9" s="232"/>
      <c r="G9" s="269"/>
      <c r="H9" s="513"/>
      <c r="I9" s="514"/>
      <c r="J9" s="526">
        <f>H9+F9+'spł poż'!F9</f>
        <v>0</v>
      </c>
      <c r="K9" s="526">
        <f>I9+G9+'spł poż'!G9</f>
        <v>0</v>
      </c>
    </row>
    <row r="10" spans="1:11" ht="12.75">
      <c r="A10" s="518" t="s">
        <v>13</v>
      </c>
      <c r="B10" s="519">
        <v>90</v>
      </c>
      <c r="C10" s="236">
        <f aca="true" t="shared" si="0" ref="C10:C43">C9-D9</f>
        <v>10000000</v>
      </c>
      <c r="D10" s="236">
        <v>50000</v>
      </c>
      <c r="E10" s="237">
        <f aca="true" t="shared" si="1" ref="E10:E40">B10*C10*0.07/360</f>
        <v>175000.00000000003</v>
      </c>
      <c r="F10" s="237"/>
      <c r="G10" s="270"/>
      <c r="H10" s="513"/>
      <c r="I10" s="514"/>
      <c r="J10" s="527">
        <f>H10+F10+'spł poż'!F10</f>
        <v>0</v>
      </c>
      <c r="K10" s="527">
        <f>I10+G10+'spł poż'!G10</f>
        <v>0</v>
      </c>
    </row>
    <row r="11" spans="1:11" ht="12.75">
      <c r="A11" s="518" t="s">
        <v>14</v>
      </c>
      <c r="B11" s="519">
        <v>90</v>
      </c>
      <c r="C11" s="236">
        <f t="shared" si="0"/>
        <v>9950000</v>
      </c>
      <c r="D11" s="236"/>
      <c r="E11" s="237">
        <f t="shared" si="1"/>
        <v>174125.00000000003</v>
      </c>
      <c r="F11" s="237"/>
      <c r="G11" s="270"/>
      <c r="H11" s="513"/>
      <c r="I11" s="514"/>
      <c r="J11" s="527">
        <f>H11+F11+'spł poż'!F11</f>
        <v>0</v>
      </c>
      <c r="K11" s="527">
        <f>I11+G11+'spł poż'!G11</f>
        <v>0</v>
      </c>
    </row>
    <row r="12" spans="1:11" ht="13.5" thickBot="1">
      <c r="A12" s="521" t="s">
        <v>15</v>
      </c>
      <c r="B12" s="522">
        <v>90</v>
      </c>
      <c r="C12" s="241">
        <f t="shared" si="0"/>
        <v>9950000</v>
      </c>
      <c r="D12" s="241"/>
      <c r="E12" s="242">
        <f t="shared" si="1"/>
        <v>174125.00000000003</v>
      </c>
      <c r="F12" s="242">
        <f>SUM(D9:D12)</f>
        <v>50000</v>
      </c>
      <c r="G12" s="271">
        <f>SUM(E9:E12)</f>
        <v>698250.0000000001</v>
      </c>
      <c r="H12" s="523">
        <v>3616899</v>
      </c>
      <c r="I12" s="524">
        <v>575506</v>
      </c>
      <c r="J12" s="525">
        <f>H12+F12+'spł poż'!F12</f>
        <v>3716899</v>
      </c>
      <c r="K12" s="525">
        <f>I12+G12+'spł poż'!G12</f>
        <v>1443944</v>
      </c>
    </row>
    <row r="13" spans="1:11" ht="12.75">
      <c r="A13" s="516" t="s">
        <v>16</v>
      </c>
      <c r="B13" s="517">
        <v>90</v>
      </c>
      <c r="C13" s="231">
        <f t="shared" si="0"/>
        <v>9950000</v>
      </c>
      <c r="D13" s="231"/>
      <c r="E13" s="232">
        <f t="shared" si="1"/>
        <v>174125.00000000003</v>
      </c>
      <c r="F13" s="232"/>
      <c r="G13" s="269"/>
      <c r="H13" s="513"/>
      <c r="I13" s="514"/>
      <c r="J13" s="526">
        <f>H13+F13+'spł poż'!F13</f>
        <v>0</v>
      </c>
      <c r="K13" s="526">
        <f>I13+G13+'spł poż'!G13</f>
        <v>0</v>
      </c>
    </row>
    <row r="14" spans="1:11" ht="12.75">
      <c r="A14" s="518" t="s">
        <v>17</v>
      </c>
      <c r="B14" s="519">
        <v>90</v>
      </c>
      <c r="C14" s="236">
        <f t="shared" si="0"/>
        <v>9950000</v>
      </c>
      <c r="D14" s="236">
        <v>50000</v>
      </c>
      <c r="E14" s="237">
        <f t="shared" si="1"/>
        <v>174125.00000000003</v>
      </c>
      <c r="F14" s="237"/>
      <c r="G14" s="270"/>
      <c r="H14" s="513"/>
      <c r="I14" s="514"/>
      <c r="J14" s="527">
        <f>H14+F14+'spł poż'!F14</f>
        <v>0</v>
      </c>
      <c r="K14" s="527">
        <f>I14+G14+'spł poż'!G14</f>
        <v>0</v>
      </c>
    </row>
    <row r="15" spans="1:11" ht="12.75">
      <c r="A15" s="518" t="s">
        <v>18</v>
      </c>
      <c r="B15" s="519">
        <v>90</v>
      </c>
      <c r="C15" s="236">
        <f t="shared" si="0"/>
        <v>9900000</v>
      </c>
      <c r="D15" s="236"/>
      <c r="E15" s="237">
        <f t="shared" si="1"/>
        <v>173250.00000000003</v>
      </c>
      <c r="F15" s="237"/>
      <c r="G15" s="270"/>
      <c r="H15" s="513"/>
      <c r="I15" s="514"/>
      <c r="J15" s="527">
        <f>H15+F15+'spł poż'!F15</f>
        <v>0</v>
      </c>
      <c r="K15" s="527">
        <f>I15+G15+'spł poż'!G15</f>
        <v>0</v>
      </c>
    </row>
    <row r="16" spans="1:11" ht="13.5" thickBot="1">
      <c r="A16" s="521" t="s">
        <v>19</v>
      </c>
      <c r="B16" s="522">
        <v>90</v>
      </c>
      <c r="C16" s="241">
        <f t="shared" si="0"/>
        <v>9900000</v>
      </c>
      <c r="D16" s="241"/>
      <c r="E16" s="242">
        <f t="shared" si="1"/>
        <v>173250.00000000003</v>
      </c>
      <c r="F16" s="242">
        <f>SUM(D13:D16)</f>
        <v>50000</v>
      </c>
      <c r="G16" s="271">
        <f>SUM(E13:E16)</f>
        <v>694750.0000000001</v>
      </c>
      <c r="H16" s="523">
        <v>3456453</v>
      </c>
      <c r="I16" s="524">
        <v>349963</v>
      </c>
      <c r="J16" s="525">
        <f>H16+F16+'spł poż'!F16</f>
        <v>3556453</v>
      </c>
      <c r="K16" s="525">
        <f>I16+G16+'spł poż'!G16</f>
        <v>1211401</v>
      </c>
    </row>
    <row r="17" spans="1:11" ht="12.75">
      <c r="A17" s="516" t="s">
        <v>20</v>
      </c>
      <c r="B17" s="517">
        <v>90</v>
      </c>
      <c r="C17" s="231">
        <f t="shared" si="0"/>
        <v>9900000</v>
      </c>
      <c r="D17" s="231">
        <f>D16</f>
        <v>0</v>
      </c>
      <c r="E17" s="232">
        <f t="shared" si="1"/>
        <v>173250.00000000003</v>
      </c>
      <c r="F17" s="232"/>
      <c r="G17" s="269"/>
      <c r="H17" s="513"/>
      <c r="I17" s="514"/>
      <c r="J17" s="526">
        <f>H17+F17+'spł poż'!F17</f>
        <v>0</v>
      </c>
      <c r="K17" s="526">
        <f>I17+G17+'spł poż'!G17</f>
        <v>0</v>
      </c>
    </row>
    <row r="18" spans="1:11" ht="12.75">
      <c r="A18" s="518" t="s">
        <v>21</v>
      </c>
      <c r="B18" s="519">
        <v>90</v>
      </c>
      <c r="C18" s="236">
        <f t="shared" si="0"/>
        <v>9900000</v>
      </c>
      <c r="D18" s="236">
        <v>50000</v>
      </c>
      <c r="E18" s="237">
        <f t="shared" si="1"/>
        <v>173250.00000000003</v>
      </c>
      <c r="F18" s="237"/>
      <c r="G18" s="270"/>
      <c r="H18" s="513"/>
      <c r="I18" s="514"/>
      <c r="J18" s="527">
        <f>H18+F18+'spł poż'!F18</f>
        <v>0</v>
      </c>
      <c r="K18" s="527">
        <f>I18+G18+'spł poż'!G18</f>
        <v>0</v>
      </c>
    </row>
    <row r="19" spans="1:36" s="17" customFormat="1" ht="12.75">
      <c r="A19" s="528" t="s">
        <v>22</v>
      </c>
      <c r="B19" s="529">
        <v>90</v>
      </c>
      <c r="C19" s="236">
        <f t="shared" si="0"/>
        <v>9850000</v>
      </c>
      <c r="D19" s="236"/>
      <c r="E19" s="237">
        <f t="shared" si="1"/>
        <v>172375.00000000003</v>
      </c>
      <c r="F19" s="245"/>
      <c r="G19" s="272"/>
      <c r="H19" s="513"/>
      <c r="I19" s="514"/>
      <c r="J19" s="527">
        <f>H19+F19+'spł poż'!F19</f>
        <v>0</v>
      </c>
      <c r="K19" s="52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530" t="s">
        <v>23</v>
      </c>
      <c r="B20" s="531">
        <v>90</v>
      </c>
      <c r="C20" s="252">
        <f t="shared" si="0"/>
        <v>9850000</v>
      </c>
      <c r="D20" s="265"/>
      <c r="E20" s="253">
        <f t="shared" si="1"/>
        <v>172375.00000000003</v>
      </c>
      <c r="F20" s="254">
        <f>SUM(D17:D20)</f>
        <v>50000</v>
      </c>
      <c r="G20" s="275">
        <f>SUM(E17:E20)</f>
        <v>691250.0000000001</v>
      </c>
      <c r="H20" s="523">
        <v>2500000</v>
      </c>
      <c r="I20" s="524">
        <v>258568</v>
      </c>
      <c r="J20" s="532">
        <f>H20+F20+'spł poż'!F20</f>
        <v>2600000</v>
      </c>
      <c r="K20" s="53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516" t="s">
        <v>24</v>
      </c>
      <c r="B21" s="517">
        <v>90</v>
      </c>
      <c r="C21" s="231">
        <f t="shared" si="0"/>
        <v>9850000</v>
      </c>
      <c r="D21" s="261"/>
      <c r="E21" s="232">
        <f t="shared" si="1"/>
        <v>172375.00000000003</v>
      </c>
      <c r="F21" s="232"/>
      <c r="G21" s="269"/>
      <c r="H21" s="513"/>
      <c r="I21" s="514"/>
      <c r="J21" s="526">
        <f>H21+F21+'spł poż'!F21</f>
        <v>0</v>
      </c>
      <c r="K21" s="526">
        <f>I21+G21+'spł poż'!G21</f>
        <v>0</v>
      </c>
    </row>
    <row r="22" spans="1:11" ht="12.75">
      <c r="A22" s="518" t="s">
        <v>25</v>
      </c>
      <c r="B22" s="519">
        <v>90</v>
      </c>
      <c r="C22" s="236">
        <f t="shared" si="0"/>
        <v>9850000</v>
      </c>
      <c r="D22" s="262">
        <v>50000</v>
      </c>
      <c r="E22" s="237">
        <f t="shared" si="1"/>
        <v>172375.00000000003</v>
      </c>
      <c r="F22" s="237"/>
      <c r="G22" s="270"/>
      <c r="H22" s="513"/>
      <c r="I22" s="514"/>
      <c r="J22" s="527">
        <f>H22+F22+'spł poż'!F22</f>
        <v>0</v>
      </c>
      <c r="K22" s="527">
        <f>I22+G22+'spł poż'!G22</f>
        <v>0</v>
      </c>
    </row>
    <row r="23" spans="1:11" ht="12.75">
      <c r="A23" s="518" t="s">
        <v>26</v>
      </c>
      <c r="B23" s="519">
        <v>90</v>
      </c>
      <c r="C23" s="236">
        <f t="shared" si="0"/>
        <v>9800000</v>
      </c>
      <c r="D23" s="236"/>
      <c r="E23" s="237">
        <f t="shared" si="1"/>
        <v>171500.00000000003</v>
      </c>
      <c r="F23" s="237"/>
      <c r="G23" s="270"/>
      <c r="H23" s="513"/>
      <c r="I23" s="514"/>
      <c r="J23" s="527">
        <f>H23+F23+'spł poż'!F23</f>
        <v>0</v>
      </c>
      <c r="K23" s="527">
        <f>I23+G23+'spł poż'!G23</f>
        <v>0</v>
      </c>
    </row>
    <row r="24" spans="1:11" ht="13.5" thickBot="1">
      <c r="A24" s="521" t="s">
        <v>27</v>
      </c>
      <c r="B24" s="522">
        <v>90</v>
      </c>
      <c r="C24" s="241">
        <f t="shared" si="0"/>
        <v>9800000</v>
      </c>
      <c r="D24" s="241"/>
      <c r="E24" s="242">
        <f t="shared" si="1"/>
        <v>171500.00000000003</v>
      </c>
      <c r="F24" s="242">
        <f>SUM(D21:D24)</f>
        <v>50000</v>
      </c>
      <c r="G24" s="271">
        <f>SUM(E21:E24)</f>
        <v>687750.0000000001</v>
      </c>
      <c r="H24" s="523">
        <v>2500000</v>
      </c>
      <c r="I24" s="524">
        <v>171068</v>
      </c>
      <c r="J24" s="525">
        <f>H24+F24+'spł poż'!F24</f>
        <v>2600000</v>
      </c>
      <c r="K24" s="525">
        <f>I24+G24+'spł poż'!G24</f>
        <v>1018506.0000000001</v>
      </c>
    </row>
    <row r="25" spans="1:36" s="17" customFormat="1" ht="12.75">
      <c r="A25" s="533" t="s">
        <v>28</v>
      </c>
      <c r="B25" s="534">
        <v>90</v>
      </c>
      <c r="C25" s="231">
        <f t="shared" si="0"/>
        <v>9800000</v>
      </c>
      <c r="D25" s="261"/>
      <c r="E25" s="232">
        <f t="shared" si="1"/>
        <v>171500.00000000003</v>
      </c>
      <c r="F25" s="258"/>
      <c r="G25" s="274"/>
      <c r="H25" s="513"/>
      <c r="I25" s="514"/>
      <c r="J25" s="526">
        <f>H25+F25+'spł poż'!F25</f>
        <v>0</v>
      </c>
      <c r="K25" s="52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528" t="s">
        <v>29</v>
      </c>
      <c r="B26" s="529">
        <v>90</v>
      </c>
      <c r="C26" s="236">
        <f t="shared" si="0"/>
        <v>9800000</v>
      </c>
      <c r="D26" s="262">
        <v>100000</v>
      </c>
      <c r="E26" s="237">
        <f t="shared" si="1"/>
        <v>171500.00000000003</v>
      </c>
      <c r="F26" s="245"/>
      <c r="G26" s="272"/>
      <c r="H26" s="513"/>
      <c r="I26" s="514"/>
      <c r="J26" s="527">
        <f>H26+F26+'spł poż'!F26</f>
        <v>0</v>
      </c>
      <c r="K26" s="52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528" t="s">
        <v>30</v>
      </c>
      <c r="B27" s="529">
        <v>90</v>
      </c>
      <c r="C27" s="236">
        <f t="shared" si="0"/>
        <v>9700000</v>
      </c>
      <c r="D27" s="262"/>
      <c r="E27" s="237">
        <f t="shared" si="1"/>
        <v>169750.00000000003</v>
      </c>
      <c r="F27" s="245"/>
      <c r="G27" s="272"/>
      <c r="H27" s="513"/>
      <c r="I27" s="514"/>
      <c r="J27" s="527">
        <f>H27+F27+'spł poż'!F27</f>
        <v>0</v>
      </c>
      <c r="K27" s="52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535" t="s">
        <v>31</v>
      </c>
      <c r="B28" s="536">
        <v>90</v>
      </c>
      <c r="C28" s="241">
        <f t="shared" si="0"/>
        <v>9700000</v>
      </c>
      <c r="D28" s="263"/>
      <c r="E28" s="242">
        <f t="shared" si="1"/>
        <v>169750.00000000003</v>
      </c>
      <c r="F28" s="248">
        <f>SUM(D25:D28)</f>
        <v>100000</v>
      </c>
      <c r="G28" s="273">
        <f>SUM(E25:E28)</f>
        <v>682500.0000000001</v>
      </c>
      <c r="H28" s="523">
        <v>2376170</v>
      </c>
      <c r="I28" s="524">
        <v>83568</v>
      </c>
      <c r="J28" s="525">
        <f>H28+F28+'spł poż'!F28</f>
        <v>2501170</v>
      </c>
      <c r="K28" s="52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516" t="s">
        <v>32</v>
      </c>
      <c r="B29" s="517">
        <v>90</v>
      </c>
      <c r="C29" s="231">
        <f t="shared" si="0"/>
        <v>9700000</v>
      </c>
      <c r="D29" s="231"/>
      <c r="E29" s="232">
        <f t="shared" si="1"/>
        <v>169750.00000000003</v>
      </c>
      <c r="F29" s="232"/>
      <c r="G29" s="269"/>
      <c r="H29" s="513"/>
      <c r="I29" s="514"/>
      <c r="J29" s="526">
        <f>H29+F29+'spł poż'!F29</f>
        <v>0</v>
      </c>
      <c r="K29" s="526">
        <f>I29+G29+'spł poż'!G29</f>
        <v>0</v>
      </c>
    </row>
    <row r="30" spans="1:11" ht="12.75">
      <c r="A30" s="518" t="s">
        <v>33</v>
      </c>
      <c r="B30" s="519">
        <v>90</v>
      </c>
      <c r="C30" s="236">
        <f t="shared" si="0"/>
        <v>9700000</v>
      </c>
      <c r="D30" s="262">
        <v>1000000</v>
      </c>
      <c r="E30" s="237">
        <f t="shared" si="1"/>
        <v>169750.00000000003</v>
      </c>
      <c r="F30" s="237"/>
      <c r="G30" s="270"/>
      <c r="H30" s="513"/>
      <c r="I30" s="514"/>
      <c r="J30" s="527">
        <f>H30+F30+'spł poż'!F30</f>
        <v>0</v>
      </c>
      <c r="K30" s="527">
        <f>I30+G30+'spł poż'!G30</f>
        <v>0</v>
      </c>
    </row>
    <row r="31" spans="1:11" ht="12.75">
      <c r="A31" s="518" t="s">
        <v>34</v>
      </c>
      <c r="B31" s="519">
        <v>90</v>
      </c>
      <c r="C31" s="236">
        <f t="shared" si="0"/>
        <v>8700000</v>
      </c>
      <c r="D31" s="262"/>
      <c r="E31" s="237">
        <f t="shared" si="1"/>
        <v>152250.00000000003</v>
      </c>
      <c r="F31" s="237"/>
      <c r="G31" s="270"/>
      <c r="H31" s="513"/>
      <c r="I31" s="514"/>
      <c r="J31" s="527">
        <f>H31+F31+'spł poż'!F31</f>
        <v>0</v>
      </c>
      <c r="K31" s="527">
        <f>I31+G31+'spł poż'!G31</f>
        <v>0</v>
      </c>
    </row>
    <row r="32" spans="1:11" ht="13.5" thickBot="1">
      <c r="A32" s="537" t="s">
        <v>35</v>
      </c>
      <c r="B32" s="538">
        <v>90</v>
      </c>
      <c r="C32" s="252">
        <f t="shared" si="0"/>
        <v>8700000</v>
      </c>
      <c r="D32" s="265"/>
      <c r="E32" s="253">
        <f t="shared" si="1"/>
        <v>152250.00000000003</v>
      </c>
      <c r="F32" s="253">
        <f>SUM(D29:D32)</f>
        <v>1000000</v>
      </c>
      <c r="G32" s="539">
        <f>SUM(E29:E32)</f>
        <v>644000.0000000001</v>
      </c>
      <c r="H32" s="523">
        <v>11500</v>
      </c>
      <c r="I32" s="514">
        <v>403</v>
      </c>
      <c r="J32" s="532">
        <f>H32+F32+'spł poż'!F32</f>
        <v>1062028</v>
      </c>
      <c r="K32" s="532">
        <f>I32+G32+'spł poż'!G32</f>
        <v>770831.2600000001</v>
      </c>
    </row>
    <row r="33" spans="1:36" s="17" customFormat="1" ht="12.75">
      <c r="A33" s="533" t="s">
        <v>36</v>
      </c>
      <c r="B33" s="534">
        <v>90</v>
      </c>
      <c r="C33" s="231">
        <f t="shared" si="0"/>
        <v>8700000</v>
      </c>
      <c r="D33" s="261"/>
      <c r="E33" s="232">
        <f t="shared" si="1"/>
        <v>152250.00000000003</v>
      </c>
      <c r="F33" s="258"/>
      <c r="G33" s="274"/>
      <c r="H33" s="513"/>
      <c r="I33" s="514"/>
      <c r="J33" s="526">
        <f>H33+F33+'spł poż'!F33</f>
        <v>0</v>
      </c>
      <c r="K33" s="52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528" t="s">
        <v>37</v>
      </c>
      <c r="B34" s="529">
        <v>90</v>
      </c>
      <c r="C34" s="236">
        <f t="shared" si="0"/>
        <v>8700000</v>
      </c>
      <c r="D34" s="262">
        <v>500000</v>
      </c>
      <c r="E34" s="237">
        <f t="shared" si="1"/>
        <v>152250.00000000003</v>
      </c>
      <c r="F34" s="245"/>
      <c r="G34" s="272"/>
      <c r="H34" s="513"/>
      <c r="I34" s="514"/>
      <c r="J34" s="527">
        <f>H34+F34+'spł poż'!F34</f>
        <v>0</v>
      </c>
      <c r="K34" s="52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528" t="s">
        <v>38</v>
      </c>
      <c r="B35" s="529">
        <v>90</v>
      </c>
      <c r="C35" s="236">
        <f t="shared" si="0"/>
        <v>8200000</v>
      </c>
      <c r="D35" s="262"/>
      <c r="E35" s="237">
        <f t="shared" si="1"/>
        <v>143500.00000000003</v>
      </c>
      <c r="F35" s="245"/>
      <c r="G35" s="272"/>
      <c r="H35" s="513"/>
      <c r="I35" s="514"/>
      <c r="J35" s="527">
        <f>H35+F35+'spł poż'!F35</f>
        <v>0</v>
      </c>
      <c r="K35" s="52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535" t="s">
        <v>39</v>
      </c>
      <c r="B36" s="536">
        <v>90</v>
      </c>
      <c r="C36" s="241">
        <f t="shared" si="0"/>
        <v>8200000</v>
      </c>
      <c r="D36" s="263"/>
      <c r="E36" s="242">
        <f t="shared" si="1"/>
        <v>143500.00000000003</v>
      </c>
      <c r="F36" s="248">
        <f>SUM(D33:D36)</f>
        <v>500000</v>
      </c>
      <c r="G36" s="273">
        <f>SUM(E33:E36)</f>
        <v>591500.0000000001</v>
      </c>
      <c r="H36" s="513"/>
      <c r="I36" s="514"/>
      <c r="J36" s="525">
        <f>H36+F36+'spł poż'!F36</f>
        <v>1250523</v>
      </c>
      <c r="K36" s="52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516" t="s">
        <v>40</v>
      </c>
      <c r="B37" s="517">
        <v>90</v>
      </c>
      <c r="C37" s="231">
        <f t="shared" si="0"/>
        <v>8200000</v>
      </c>
      <c r="D37" s="231">
        <f>D36</f>
        <v>0</v>
      </c>
      <c r="E37" s="232">
        <f t="shared" si="1"/>
        <v>143500.00000000003</v>
      </c>
      <c r="F37" s="232"/>
      <c r="G37" s="269"/>
      <c r="H37" s="513"/>
      <c r="I37" s="514"/>
      <c r="J37" s="526">
        <f>H37+F37+'spł poż'!F37</f>
        <v>0</v>
      </c>
      <c r="K37" s="526">
        <f>I37+G37+'spł poż'!G37</f>
        <v>0</v>
      </c>
    </row>
    <row r="38" spans="1:11" ht="12.75">
      <c r="A38" s="518" t="s">
        <v>41</v>
      </c>
      <c r="B38" s="519">
        <v>90</v>
      </c>
      <c r="C38" s="236">
        <f t="shared" si="0"/>
        <v>8200000</v>
      </c>
      <c r="D38" s="236">
        <v>500000</v>
      </c>
      <c r="E38" s="237">
        <f t="shared" si="1"/>
        <v>143500.00000000003</v>
      </c>
      <c r="F38" s="237"/>
      <c r="G38" s="270"/>
      <c r="H38" s="513"/>
      <c r="I38" s="514"/>
      <c r="J38" s="527">
        <f>H38+F38+'spł poż'!F38</f>
        <v>0</v>
      </c>
      <c r="K38" s="527">
        <f>I38+G38+'spł poż'!G38</f>
        <v>0</v>
      </c>
    </row>
    <row r="39" spans="1:11" ht="12.75">
      <c r="A39" s="518" t="s">
        <v>42</v>
      </c>
      <c r="B39" s="519">
        <v>90</v>
      </c>
      <c r="C39" s="236">
        <f t="shared" si="0"/>
        <v>7700000</v>
      </c>
      <c r="D39" s="236"/>
      <c r="E39" s="237">
        <f t="shared" si="1"/>
        <v>134750.00000000003</v>
      </c>
      <c r="F39" s="237"/>
      <c r="G39" s="270"/>
      <c r="H39" s="513"/>
      <c r="I39" s="514"/>
      <c r="J39" s="527">
        <f>H39+F39+'spł poż'!F39</f>
        <v>0</v>
      </c>
      <c r="K39" s="527">
        <f>I39+G39+'spł poż'!G39</f>
        <v>0</v>
      </c>
    </row>
    <row r="40" spans="1:11" ht="13.5" thickBot="1">
      <c r="A40" s="521" t="s">
        <v>43</v>
      </c>
      <c r="B40" s="522">
        <v>90</v>
      </c>
      <c r="C40" s="241">
        <f t="shared" si="0"/>
        <v>7700000</v>
      </c>
      <c r="D40" s="241"/>
      <c r="E40" s="242">
        <f t="shared" si="1"/>
        <v>134750.00000000003</v>
      </c>
      <c r="F40" s="242">
        <f>SUM(D37:D40)</f>
        <v>500000</v>
      </c>
      <c r="G40" s="271">
        <f>SUM(E37:E40)</f>
        <v>556500.0000000001</v>
      </c>
      <c r="H40" s="513"/>
      <c r="I40" s="514"/>
      <c r="J40" s="525">
        <f>H40+F40+'spł poż'!F40</f>
        <v>1100000</v>
      </c>
      <c r="K40" s="525">
        <f>I40+G40+'spł poż'!G40</f>
        <v>612426.4300000002</v>
      </c>
    </row>
    <row r="41" spans="1:11" ht="12.75">
      <c r="A41" s="516" t="s">
        <v>44</v>
      </c>
      <c r="B41" s="517">
        <v>90</v>
      </c>
      <c r="C41" s="231">
        <f t="shared" si="0"/>
        <v>7700000</v>
      </c>
      <c r="D41" s="231"/>
      <c r="E41" s="232">
        <f aca="true" t="shared" si="2" ref="E41:E48">B41*C41*0.07/360</f>
        <v>134750.00000000003</v>
      </c>
      <c r="F41" s="232"/>
      <c r="G41" s="269"/>
      <c r="H41" s="513"/>
      <c r="I41" s="514"/>
      <c r="J41" s="526">
        <f>H41+F41+'spł poż'!F41</f>
        <v>0</v>
      </c>
      <c r="K41" s="526">
        <f>I41+G41+'spł poż'!G41</f>
        <v>0</v>
      </c>
    </row>
    <row r="42" spans="1:11" ht="12.75">
      <c r="A42" s="518" t="s">
        <v>45</v>
      </c>
      <c r="B42" s="519">
        <v>90</v>
      </c>
      <c r="C42" s="236">
        <f t="shared" si="0"/>
        <v>7700000</v>
      </c>
      <c r="D42" s="236">
        <v>600000</v>
      </c>
      <c r="E42" s="237">
        <f t="shared" si="2"/>
        <v>134750.00000000003</v>
      </c>
      <c r="F42" s="237"/>
      <c r="G42" s="270"/>
      <c r="H42" s="513"/>
      <c r="I42" s="514"/>
      <c r="J42" s="527">
        <f>H42+F42+'spł poż'!F42</f>
        <v>0</v>
      </c>
      <c r="K42" s="527">
        <f>I42+G42+'spł poż'!G42</f>
        <v>0</v>
      </c>
    </row>
    <row r="43" spans="1:11" ht="12.75">
      <c r="A43" s="518" t="s">
        <v>46</v>
      </c>
      <c r="B43" s="519">
        <v>90</v>
      </c>
      <c r="C43" s="236">
        <f t="shared" si="0"/>
        <v>7100000</v>
      </c>
      <c r="D43" s="236">
        <v>600000</v>
      </c>
      <c r="E43" s="237">
        <f t="shared" si="2"/>
        <v>124250.00000000001</v>
      </c>
      <c r="F43" s="237"/>
      <c r="G43" s="270"/>
      <c r="H43" s="513"/>
      <c r="I43" s="514"/>
      <c r="J43" s="527">
        <f>H43+F43+'spł poż'!F43</f>
        <v>0</v>
      </c>
      <c r="K43" s="527">
        <f>I43+G43+'spł poż'!G43</f>
        <v>0</v>
      </c>
    </row>
    <row r="44" spans="1:11" ht="13.5" thickBot="1">
      <c r="A44" s="521" t="s">
        <v>47</v>
      </c>
      <c r="B44" s="522">
        <v>90</v>
      </c>
      <c r="C44" s="241">
        <f>C43-D43</f>
        <v>6500000</v>
      </c>
      <c r="D44" s="241"/>
      <c r="E44" s="242">
        <f t="shared" si="2"/>
        <v>113750.00000000001</v>
      </c>
      <c r="F44" s="242">
        <f>SUM(D41:D44)</f>
        <v>1200000</v>
      </c>
      <c r="G44" s="271">
        <f>SUM(E41:E44)</f>
        <v>507500.00000000006</v>
      </c>
      <c r="H44" s="540"/>
      <c r="I44" s="541"/>
      <c r="J44" s="525">
        <f>H44+F44+'spł poż'!F44</f>
        <v>1623949</v>
      </c>
      <c r="K44" s="525">
        <f>I44+G44+'spł poż'!G44</f>
        <v>526257.3225</v>
      </c>
    </row>
    <row r="45" spans="1:11" ht="12.75">
      <c r="A45" s="516" t="s">
        <v>400</v>
      </c>
      <c r="B45" s="517">
        <v>90</v>
      </c>
      <c r="C45" s="231">
        <f>C44-D44</f>
        <v>6500000</v>
      </c>
      <c r="D45" s="231">
        <v>3500000</v>
      </c>
      <c r="E45" s="232">
        <f t="shared" si="2"/>
        <v>113750.00000000001</v>
      </c>
      <c r="F45" s="232"/>
      <c r="G45" s="269"/>
      <c r="H45" s="513"/>
      <c r="I45" s="514"/>
      <c r="J45" s="526">
        <f>H45+F45+'spł poż'!F45</f>
        <v>2100000</v>
      </c>
      <c r="K45" s="526">
        <f>I45+G45+'spł poż'!G45</f>
        <v>0</v>
      </c>
    </row>
    <row r="46" spans="1:11" ht="12.75">
      <c r="A46" s="518" t="s">
        <v>401</v>
      </c>
      <c r="B46" s="519">
        <v>90</v>
      </c>
      <c r="C46" s="236">
        <f>C45-D45</f>
        <v>3000000</v>
      </c>
      <c r="D46" s="236"/>
      <c r="E46" s="237">
        <f t="shared" si="2"/>
        <v>52500</v>
      </c>
      <c r="F46" s="237"/>
      <c r="G46" s="270"/>
      <c r="H46" s="513"/>
      <c r="I46" s="514"/>
      <c r="J46" s="527">
        <f>H46+F46+'spł poż'!F46</f>
        <v>0</v>
      </c>
      <c r="K46" s="527">
        <f>I46+G46+'spł poż'!G46</f>
        <v>0</v>
      </c>
    </row>
    <row r="47" spans="1:11" ht="12.75">
      <c r="A47" s="518" t="s">
        <v>402</v>
      </c>
      <c r="B47" s="519">
        <v>90</v>
      </c>
      <c r="C47" s="236">
        <f>C46-D46</f>
        <v>3000000</v>
      </c>
      <c r="D47" s="236">
        <v>3000000</v>
      </c>
      <c r="E47" s="237">
        <f t="shared" si="2"/>
        <v>52500</v>
      </c>
      <c r="F47" s="237"/>
      <c r="G47" s="270"/>
      <c r="H47" s="513"/>
      <c r="I47" s="514"/>
      <c r="J47" s="527">
        <f>H47+F47+'spł poż'!F47</f>
        <v>0</v>
      </c>
      <c r="K47" s="527">
        <f>I47+G47+'spł poż'!G47</f>
        <v>0</v>
      </c>
    </row>
    <row r="48" spans="1:11" ht="13.5" thickBot="1">
      <c r="A48" s="521" t="s">
        <v>403</v>
      </c>
      <c r="B48" s="522">
        <v>90</v>
      </c>
      <c r="C48" s="241">
        <f>C47-D47</f>
        <v>0</v>
      </c>
      <c r="D48" s="241"/>
      <c r="E48" s="242">
        <f t="shared" si="2"/>
        <v>0</v>
      </c>
      <c r="F48" s="242">
        <f>SUM(D45:D48)</f>
        <v>6500000</v>
      </c>
      <c r="G48" s="271">
        <f>SUM(E45:E48)</f>
        <v>218750</v>
      </c>
      <c r="H48" s="540"/>
      <c r="I48" s="541"/>
      <c r="J48" s="525">
        <f>H48+F48+'spł poż'!F48</f>
        <v>6500000</v>
      </c>
      <c r="K48" s="525">
        <f>I48+G48+'spł poż'!G48</f>
        <v>218750</v>
      </c>
    </row>
    <row r="49" spans="1:11" ht="12.75">
      <c r="A49" s="542"/>
      <c r="B49" s="543"/>
      <c r="C49" s="542"/>
      <c r="D49" s="544">
        <f>SUM(D9:D48)</f>
        <v>10000000</v>
      </c>
      <c r="F49" s="544">
        <f>SUM(F9:F48)</f>
        <v>10000000</v>
      </c>
      <c r="G49" s="544">
        <f>SUM(G9:G48)</f>
        <v>5972750.000000001</v>
      </c>
      <c r="H49" s="545"/>
      <c r="I49" s="545"/>
      <c r="J49" s="544">
        <f>SUM(J9:J48)</f>
        <v>28611022</v>
      </c>
      <c r="K49" s="546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68" t="s">
        <v>217</v>
      </c>
      <c r="B1" s="568"/>
      <c r="C1" s="568"/>
      <c r="D1" s="568"/>
      <c r="E1" s="568"/>
      <c r="F1" s="568"/>
      <c r="G1" s="568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227">
        <f>B4*C4*5.5%/360</f>
        <v>28875</v>
      </c>
      <c r="F4" s="227">
        <v>0</v>
      </c>
      <c r="G4" s="227">
        <f>E3+E4</f>
        <v>28875</v>
      </c>
    </row>
    <row r="5" spans="1:7" s="2" customFormat="1" ht="15">
      <c r="A5" s="228" t="s">
        <v>8</v>
      </c>
      <c r="B5" s="229">
        <v>90</v>
      </c>
      <c r="C5" s="230">
        <f aca="true" t="shared" si="0" ref="C5:C39">C4-D4</f>
        <v>2100000</v>
      </c>
      <c r="D5" s="231">
        <v>12500</v>
      </c>
      <c r="E5" s="232">
        <f>B5*C5*0.07/360</f>
        <v>36750.00000000001</v>
      </c>
      <c r="F5" s="232"/>
      <c r="G5" s="232"/>
    </row>
    <row r="6" spans="1:8" ht="15">
      <c r="A6" s="233" t="s">
        <v>9</v>
      </c>
      <c r="B6" s="234">
        <v>90</v>
      </c>
      <c r="C6" s="235">
        <f t="shared" si="0"/>
        <v>2087500</v>
      </c>
      <c r="D6" s="236">
        <v>12500</v>
      </c>
      <c r="E6" s="237">
        <f>B6*C6*0.07/360</f>
        <v>36531.25000000001</v>
      </c>
      <c r="F6" s="237"/>
      <c r="G6" s="237"/>
      <c r="H6" s="14">
        <f>SUM(D5:D8)</f>
        <v>50000</v>
      </c>
    </row>
    <row r="7" spans="1:7" ht="15">
      <c r="A7" s="233" t="s">
        <v>10</v>
      </c>
      <c r="B7" s="234">
        <v>90</v>
      </c>
      <c r="C7" s="235">
        <f t="shared" si="0"/>
        <v>2075000</v>
      </c>
      <c r="D7" s="236">
        <f aca="true" t="shared" si="1" ref="D7:D25">D6</f>
        <v>12500</v>
      </c>
      <c r="E7" s="237">
        <f aca="true" t="shared" si="2" ref="E7:E40">B7*C7*0.07/360</f>
        <v>36312.50000000001</v>
      </c>
      <c r="F7" s="237"/>
      <c r="G7" s="237"/>
    </row>
    <row r="8" spans="1:7" ht="15.75" thickBot="1">
      <c r="A8" s="238" t="s">
        <v>11</v>
      </c>
      <c r="B8" s="239">
        <v>90</v>
      </c>
      <c r="C8" s="240">
        <f t="shared" si="0"/>
        <v>2062500</v>
      </c>
      <c r="D8" s="241">
        <f t="shared" si="1"/>
        <v>12500</v>
      </c>
      <c r="E8" s="242">
        <f>B8*C8*0.07/360</f>
        <v>36093.75000000001</v>
      </c>
      <c r="F8" s="242">
        <v>50000</v>
      </c>
      <c r="G8" s="242">
        <v>173688</v>
      </c>
    </row>
    <row r="9" spans="1:7" ht="15">
      <c r="A9" s="228" t="s">
        <v>12</v>
      </c>
      <c r="B9" s="229">
        <v>90</v>
      </c>
      <c r="C9" s="230">
        <f t="shared" si="0"/>
        <v>2050000</v>
      </c>
      <c r="D9" s="231">
        <f t="shared" si="1"/>
        <v>12500</v>
      </c>
      <c r="E9" s="232">
        <f t="shared" si="2"/>
        <v>35875.00000000001</v>
      </c>
      <c r="F9" s="232"/>
      <c r="G9" s="232"/>
    </row>
    <row r="10" spans="1:8" ht="15">
      <c r="A10" s="233" t="s">
        <v>13</v>
      </c>
      <c r="B10" s="234">
        <v>90</v>
      </c>
      <c r="C10" s="235">
        <f t="shared" si="0"/>
        <v>2037500</v>
      </c>
      <c r="D10" s="236">
        <f t="shared" si="1"/>
        <v>12500</v>
      </c>
      <c r="E10" s="237">
        <f t="shared" si="2"/>
        <v>35656.25000000001</v>
      </c>
      <c r="F10" s="237"/>
      <c r="G10" s="237"/>
      <c r="H10" s="14">
        <v>50000</v>
      </c>
    </row>
    <row r="11" spans="1:7" ht="15">
      <c r="A11" s="233" t="s">
        <v>14</v>
      </c>
      <c r="B11" s="234">
        <v>90</v>
      </c>
      <c r="C11" s="235">
        <f t="shared" si="0"/>
        <v>2025000</v>
      </c>
      <c r="D11" s="236">
        <f t="shared" si="1"/>
        <v>12500</v>
      </c>
      <c r="E11" s="237">
        <f t="shared" si="2"/>
        <v>35437.50000000001</v>
      </c>
      <c r="F11" s="237"/>
      <c r="G11" s="237"/>
    </row>
    <row r="12" spans="1:7" ht="15.75" thickBot="1">
      <c r="A12" s="238" t="s">
        <v>15</v>
      </c>
      <c r="B12" s="239">
        <v>90</v>
      </c>
      <c r="C12" s="240">
        <f t="shared" si="0"/>
        <v>2012500</v>
      </c>
      <c r="D12" s="241">
        <f t="shared" si="1"/>
        <v>12500</v>
      </c>
      <c r="E12" s="242">
        <f t="shared" si="2"/>
        <v>35218.75000000001</v>
      </c>
      <c r="F12" s="242">
        <f>SUM(D9:D12)</f>
        <v>50000</v>
      </c>
      <c r="G12" s="242">
        <v>170188</v>
      </c>
    </row>
    <row r="13" spans="1:7" ht="15">
      <c r="A13" s="228" t="s">
        <v>16</v>
      </c>
      <c r="B13" s="229">
        <v>90</v>
      </c>
      <c r="C13" s="230">
        <f t="shared" si="0"/>
        <v>2000000</v>
      </c>
      <c r="D13" s="231">
        <f t="shared" si="1"/>
        <v>12500</v>
      </c>
      <c r="E13" s="232">
        <f t="shared" si="2"/>
        <v>35000.00000000001</v>
      </c>
      <c r="F13" s="232"/>
      <c r="G13" s="232"/>
    </row>
    <row r="14" spans="1:8" ht="15">
      <c r="A14" s="233" t="s">
        <v>17</v>
      </c>
      <c r="B14" s="234">
        <v>90</v>
      </c>
      <c r="C14" s="235">
        <f t="shared" si="0"/>
        <v>1987500</v>
      </c>
      <c r="D14" s="236">
        <f t="shared" si="1"/>
        <v>12500</v>
      </c>
      <c r="E14" s="237">
        <f t="shared" si="2"/>
        <v>34781.25000000001</v>
      </c>
      <c r="F14" s="237"/>
      <c r="G14" s="237"/>
      <c r="H14" s="14">
        <v>50000</v>
      </c>
    </row>
    <row r="15" spans="1:7" ht="15">
      <c r="A15" s="233" t="s">
        <v>18</v>
      </c>
      <c r="B15" s="234">
        <v>90</v>
      </c>
      <c r="C15" s="235">
        <f t="shared" si="0"/>
        <v>1975000</v>
      </c>
      <c r="D15" s="236">
        <f t="shared" si="1"/>
        <v>12500</v>
      </c>
      <c r="E15" s="237">
        <f t="shared" si="2"/>
        <v>34562.50000000001</v>
      </c>
      <c r="F15" s="237"/>
      <c r="G15" s="237"/>
    </row>
    <row r="16" spans="1:7" ht="15.75" thickBot="1">
      <c r="A16" s="238" t="s">
        <v>19</v>
      </c>
      <c r="B16" s="239">
        <v>90</v>
      </c>
      <c r="C16" s="240">
        <f t="shared" si="0"/>
        <v>1962500</v>
      </c>
      <c r="D16" s="241">
        <f t="shared" si="1"/>
        <v>12500</v>
      </c>
      <c r="E16" s="242">
        <f>B16*C16*0.07/360</f>
        <v>34343.75000000001</v>
      </c>
      <c r="F16" s="242">
        <f>SUM(D13:D16)</f>
        <v>50000</v>
      </c>
      <c r="G16" s="242">
        <v>166688</v>
      </c>
    </row>
    <row r="17" spans="1:7" ht="15">
      <c r="A17" s="228" t="s">
        <v>20</v>
      </c>
      <c r="B17" s="229">
        <v>90</v>
      </c>
      <c r="C17" s="230">
        <f t="shared" si="0"/>
        <v>1950000</v>
      </c>
      <c r="D17" s="231">
        <f t="shared" si="1"/>
        <v>12500</v>
      </c>
      <c r="E17" s="232">
        <f t="shared" si="2"/>
        <v>34125.00000000001</v>
      </c>
      <c r="F17" s="232"/>
      <c r="G17" s="232"/>
    </row>
    <row r="18" spans="1:8" ht="15">
      <c r="A18" s="233" t="s">
        <v>21</v>
      </c>
      <c r="B18" s="234">
        <v>90</v>
      </c>
      <c r="C18" s="235">
        <f t="shared" si="0"/>
        <v>1937500</v>
      </c>
      <c r="D18" s="236">
        <f t="shared" si="1"/>
        <v>12500</v>
      </c>
      <c r="E18" s="237">
        <f t="shared" si="2"/>
        <v>33906.25000000001</v>
      </c>
      <c r="F18" s="237"/>
      <c r="G18" s="237"/>
      <c r="H18" s="14">
        <v>50000</v>
      </c>
    </row>
    <row r="19" spans="1:8" s="17" customFormat="1" ht="15">
      <c r="A19" s="243" t="s">
        <v>22</v>
      </c>
      <c r="B19" s="244">
        <v>90</v>
      </c>
      <c r="C19" s="235">
        <f t="shared" si="0"/>
        <v>1925000</v>
      </c>
      <c r="D19" s="236">
        <f t="shared" si="1"/>
        <v>12500</v>
      </c>
      <c r="E19" s="237">
        <f t="shared" si="2"/>
        <v>33687.50000000001</v>
      </c>
      <c r="F19" s="245"/>
      <c r="G19" s="245"/>
      <c r="H19" s="16"/>
    </row>
    <row r="20" spans="1:7" s="17" customFormat="1" ht="15.75" thickBot="1">
      <c r="A20" s="249" t="s">
        <v>23</v>
      </c>
      <c r="B20" s="250">
        <v>90</v>
      </c>
      <c r="C20" s="251">
        <f t="shared" si="0"/>
        <v>1912500</v>
      </c>
      <c r="D20" s="252">
        <f t="shared" si="1"/>
        <v>12500</v>
      </c>
      <c r="E20" s="253">
        <f t="shared" si="2"/>
        <v>33468.75000000001</v>
      </c>
      <c r="F20" s="254">
        <f>SUM(D17:D20)</f>
        <v>50000</v>
      </c>
      <c r="G20" s="254">
        <v>163188</v>
      </c>
    </row>
    <row r="21" spans="1:7" ht="15">
      <c r="A21" s="228" t="s">
        <v>24</v>
      </c>
      <c r="B21" s="229">
        <v>90</v>
      </c>
      <c r="C21" s="230">
        <f t="shared" si="0"/>
        <v>1900000</v>
      </c>
      <c r="D21" s="231">
        <f t="shared" si="1"/>
        <v>12500</v>
      </c>
      <c r="E21" s="232">
        <f t="shared" si="2"/>
        <v>33250.00000000001</v>
      </c>
      <c r="F21" s="232"/>
      <c r="G21" s="232"/>
    </row>
    <row r="22" spans="1:8" ht="15">
      <c r="A22" s="233" t="s">
        <v>25</v>
      </c>
      <c r="B22" s="234">
        <v>90</v>
      </c>
      <c r="C22" s="235">
        <f t="shared" si="0"/>
        <v>1887500</v>
      </c>
      <c r="D22" s="236">
        <f t="shared" si="1"/>
        <v>12500</v>
      </c>
      <c r="E22" s="237">
        <f t="shared" si="2"/>
        <v>33031.25000000001</v>
      </c>
      <c r="F22" s="237"/>
      <c r="G22" s="237"/>
      <c r="H22" s="14">
        <v>50000</v>
      </c>
    </row>
    <row r="23" spans="1:7" ht="15">
      <c r="A23" s="233" t="s">
        <v>26</v>
      </c>
      <c r="B23" s="234">
        <v>90</v>
      </c>
      <c r="C23" s="235">
        <f t="shared" si="0"/>
        <v>1875000</v>
      </c>
      <c r="D23" s="236">
        <f t="shared" si="1"/>
        <v>12500</v>
      </c>
      <c r="E23" s="237">
        <f t="shared" si="2"/>
        <v>32812.50000000001</v>
      </c>
      <c r="F23" s="237"/>
      <c r="G23" s="237"/>
    </row>
    <row r="24" spans="1:7" ht="15.75" thickBot="1">
      <c r="A24" s="238" t="s">
        <v>27</v>
      </c>
      <c r="B24" s="239">
        <v>90</v>
      </c>
      <c r="C24" s="240">
        <f t="shared" si="0"/>
        <v>1862500</v>
      </c>
      <c r="D24" s="241">
        <f t="shared" si="1"/>
        <v>12500</v>
      </c>
      <c r="E24" s="242">
        <f t="shared" si="2"/>
        <v>32593.750000000004</v>
      </c>
      <c r="F24" s="242">
        <f>SUM(D21:D24)</f>
        <v>50000</v>
      </c>
      <c r="G24" s="242">
        <v>159688</v>
      </c>
    </row>
    <row r="25" spans="1:7" s="17" customFormat="1" ht="15">
      <c r="A25" s="255" t="s">
        <v>28</v>
      </c>
      <c r="B25" s="256">
        <v>90</v>
      </c>
      <c r="C25" s="257">
        <f t="shared" si="0"/>
        <v>1850000</v>
      </c>
      <c r="D25" s="231">
        <f t="shared" si="1"/>
        <v>12500</v>
      </c>
      <c r="E25" s="232">
        <f t="shared" si="2"/>
        <v>32375.000000000004</v>
      </c>
      <c r="F25" s="258"/>
      <c r="G25" s="258"/>
    </row>
    <row r="26" spans="1:8" s="17" customFormat="1" ht="15">
      <c r="A26" s="243" t="s">
        <v>29</v>
      </c>
      <c r="B26" s="244">
        <v>90</v>
      </c>
      <c r="C26" s="259">
        <f t="shared" si="0"/>
        <v>1837500</v>
      </c>
      <c r="D26" s="236"/>
      <c r="E26" s="237">
        <f t="shared" si="2"/>
        <v>32156.250000000004</v>
      </c>
      <c r="F26" s="245"/>
      <c r="G26" s="245"/>
      <c r="H26" s="18">
        <f>SUM(D25:D28)</f>
        <v>25000</v>
      </c>
    </row>
    <row r="27" spans="1:7" s="17" customFormat="1" ht="15">
      <c r="A27" s="243" t="s">
        <v>30</v>
      </c>
      <c r="B27" s="244">
        <v>90</v>
      </c>
      <c r="C27" s="259">
        <f t="shared" si="0"/>
        <v>1837500</v>
      </c>
      <c r="D27" s="236">
        <v>12500</v>
      </c>
      <c r="E27" s="237">
        <f t="shared" si="2"/>
        <v>32156.250000000004</v>
      </c>
      <c r="F27" s="245"/>
      <c r="G27" s="245"/>
    </row>
    <row r="28" spans="1:7" s="17" customFormat="1" ht="15.75" thickBot="1">
      <c r="A28" s="246" t="s">
        <v>31</v>
      </c>
      <c r="B28" s="247">
        <v>90</v>
      </c>
      <c r="C28" s="260">
        <f t="shared" si="0"/>
        <v>1825000</v>
      </c>
      <c r="D28" s="241"/>
      <c r="E28" s="242">
        <f t="shared" si="2"/>
        <v>31937.500000000004</v>
      </c>
      <c r="F28" s="248">
        <f>SUM(D25:D28)</f>
        <v>25000</v>
      </c>
      <c r="G28" s="248">
        <f>SUM(E25:E28)</f>
        <v>128625.00000000001</v>
      </c>
    </row>
    <row r="29" spans="1:8" ht="15">
      <c r="A29" s="228" t="s">
        <v>32</v>
      </c>
      <c r="B29" s="229">
        <v>90</v>
      </c>
      <c r="C29" s="230">
        <f t="shared" si="0"/>
        <v>1825000</v>
      </c>
      <c r="D29" s="231">
        <v>12500</v>
      </c>
      <c r="E29" s="232">
        <f t="shared" si="2"/>
        <v>31937.500000000004</v>
      </c>
      <c r="F29" s="232"/>
      <c r="G29" s="232"/>
      <c r="H29" s="226">
        <f>C29/12</f>
        <v>152083.33333333334</v>
      </c>
    </row>
    <row r="30" spans="1:8" ht="15">
      <c r="A30" s="233" t="s">
        <v>33</v>
      </c>
      <c r="B30" s="234">
        <v>90</v>
      </c>
      <c r="C30" s="235">
        <f t="shared" si="0"/>
        <v>1812500</v>
      </c>
      <c r="D30" s="236">
        <v>12500</v>
      </c>
      <c r="E30" s="237">
        <f t="shared" si="2"/>
        <v>31718.750000000004</v>
      </c>
      <c r="F30" s="237"/>
      <c r="G30" s="237"/>
      <c r="H30" s="14">
        <f>SUM(D29:D32)</f>
        <v>50528</v>
      </c>
    </row>
    <row r="31" spans="1:7" ht="15">
      <c r="A31" s="233" t="s">
        <v>34</v>
      </c>
      <c r="B31" s="234">
        <v>90</v>
      </c>
      <c r="C31" s="235">
        <f t="shared" si="0"/>
        <v>1800000</v>
      </c>
      <c r="D31" s="236">
        <v>13028</v>
      </c>
      <c r="E31" s="237">
        <f t="shared" si="2"/>
        <v>31500.000000000004</v>
      </c>
      <c r="F31" s="237"/>
      <c r="G31" s="237"/>
    </row>
    <row r="32" spans="1:7" ht="15.75" thickBot="1">
      <c r="A32" s="238" t="s">
        <v>35</v>
      </c>
      <c r="B32" s="239">
        <v>90</v>
      </c>
      <c r="C32" s="240">
        <f t="shared" si="0"/>
        <v>1786972</v>
      </c>
      <c r="D32" s="241">
        <v>12500</v>
      </c>
      <c r="E32" s="242">
        <f t="shared" si="2"/>
        <v>31272.010000000006</v>
      </c>
      <c r="F32" s="242">
        <f>SUM(D29:D32)</f>
        <v>50528</v>
      </c>
      <c r="G32" s="242">
        <f>SUM(E29:E32)</f>
        <v>126428.26000000002</v>
      </c>
    </row>
    <row r="33" spans="1:7" s="17" customFormat="1" ht="15">
      <c r="A33" s="255" t="s">
        <v>36</v>
      </c>
      <c r="B33" s="256">
        <v>90</v>
      </c>
      <c r="C33" s="257">
        <f t="shared" si="0"/>
        <v>1774472</v>
      </c>
      <c r="D33" s="261">
        <v>150000</v>
      </c>
      <c r="E33" s="258">
        <f t="shared" si="2"/>
        <v>31053.260000000006</v>
      </c>
      <c r="F33" s="258"/>
      <c r="G33" s="258"/>
    </row>
    <row r="34" spans="1:8" s="17" customFormat="1" ht="15">
      <c r="A34" s="243" t="s">
        <v>37</v>
      </c>
      <c r="B34" s="244">
        <v>90</v>
      </c>
      <c r="C34" s="259">
        <f t="shared" si="0"/>
        <v>1624472</v>
      </c>
      <c r="D34" s="262">
        <f>D33</f>
        <v>150000</v>
      </c>
      <c r="E34" s="245">
        <f t="shared" si="2"/>
        <v>28428.260000000006</v>
      </c>
      <c r="F34" s="245"/>
      <c r="G34" s="245"/>
      <c r="H34" s="18">
        <f>SUM(D33:D36)</f>
        <v>750523</v>
      </c>
    </row>
    <row r="35" spans="1:7" s="17" customFormat="1" ht="15">
      <c r="A35" s="243" t="s">
        <v>38</v>
      </c>
      <c r="B35" s="244">
        <v>90</v>
      </c>
      <c r="C35" s="259">
        <f t="shared" si="0"/>
        <v>1474472</v>
      </c>
      <c r="D35" s="262">
        <v>225000</v>
      </c>
      <c r="E35" s="245">
        <f t="shared" si="2"/>
        <v>25803.260000000006</v>
      </c>
      <c r="F35" s="245"/>
      <c r="G35" s="245"/>
    </row>
    <row r="36" spans="1:7" s="17" customFormat="1" ht="15.75" thickBot="1">
      <c r="A36" s="249" t="s">
        <v>39</v>
      </c>
      <c r="B36" s="250">
        <v>90</v>
      </c>
      <c r="C36" s="264">
        <f t="shared" si="0"/>
        <v>1249472</v>
      </c>
      <c r="D36" s="265">
        <v>225523</v>
      </c>
      <c r="E36" s="254">
        <f t="shared" si="2"/>
        <v>21865.760000000002</v>
      </c>
      <c r="F36" s="254">
        <f>SUM(D33:D36)</f>
        <v>750523</v>
      </c>
      <c r="G36" s="254">
        <f>SUM(E33:E36)</f>
        <v>107150.54000000001</v>
      </c>
    </row>
    <row r="37" spans="1:7" ht="15">
      <c r="A37" s="228" t="s">
        <v>40</v>
      </c>
      <c r="B37" s="229">
        <v>90</v>
      </c>
      <c r="C37" s="230">
        <f t="shared" si="0"/>
        <v>1023949</v>
      </c>
      <c r="D37" s="261">
        <v>150000</v>
      </c>
      <c r="E37" s="232">
        <f>B37*C37*0.07/360</f>
        <v>17919.107500000002</v>
      </c>
      <c r="F37" s="232"/>
      <c r="G37" s="232"/>
    </row>
    <row r="38" spans="1:8" ht="15">
      <c r="A38" s="233" t="s">
        <v>41</v>
      </c>
      <c r="B38" s="234">
        <v>90</v>
      </c>
      <c r="C38" s="235">
        <f t="shared" si="0"/>
        <v>873949</v>
      </c>
      <c r="D38" s="262">
        <v>150000</v>
      </c>
      <c r="E38" s="237">
        <f t="shared" si="2"/>
        <v>15294.1075</v>
      </c>
      <c r="F38" s="237"/>
      <c r="G38" s="237"/>
      <c r="H38" s="14">
        <f>SUM(D37:D40)</f>
        <v>600000</v>
      </c>
    </row>
    <row r="39" spans="1:7" ht="15">
      <c r="A39" s="233" t="s">
        <v>42</v>
      </c>
      <c r="B39" s="234">
        <v>90</v>
      </c>
      <c r="C39" s="235">
        <f t="shared" si="0"/>
        <v>723949</v>
      </c>
      <c r="D39" s="262">
        <v>150000</v>
      </c>
      <c r="E39" s="237">
        <f t="shared" si="2"/>
        <v>12669.1075</v>
      </c>
      <c r="F39" s="237"/>
      <c r="G39" s="237"/>
    </row>
    <row r="40" spans="1:7" ht="15.75" thickBot="1">
      <c r="A40" s="238" t="s">
        <v>43</v>
      </c>
      <c r="B40" s="239">
        <v>90</v>
      </c>
      <c r="C40" s="240">
        <f>C39-D39</f>
        <v>573949</v>
      </c>
      <c r="D40" s="263">
        <f>D39</f>
        <v>150000</v>
      </c>
      <c r="E40" s="242">
        <f t="shared" si="2"/>
        <v>10044.1075</v>
      </c>
      <c r="F40" s="242">
        <f>SUM(D37:D40)</f>
        <v>600000</v>
      </c>
      <c r="G40" s="242">
        <f>SUM(E37:E40)</f>
        <v>55926.43</v>
      </c>
    </row>
    <row r="41" spans="1:7" ht="15">
      <c r="A41" s="228" t="s">
        <v>44</v>
      </c>
      <c r="B41" s="229">
        <v>90</v>
      </c>
      <c r="C41" s="230">
        <f>C40-D40</f>
        <v>423949</v>
      </c>
      <c r="D41" s="261">
        <v>100000</v>
      </c>
      <c r="E41" s="232">
        <f>B41*C41*0.07/360</f>
        <v>7419.1075</v>
      </c>
      <c r="F41" s="232"/>
      <c r="G41" s="232"/>
    </row>
    <row r="42" spans="1:8" ht="15">
      <c r="A42" s="233" t="s">
        <v>45</v>
      </c>
      <c r="B42" s="234">
        <v>90</v>
      </c>
      <c r="C42" s="235">
        <f>C41-D41</f>
        <v>323949</v>
      </c>
      <c r="D42" s="262">
        <v>100000</v>
      </c>
      <c r="E42" s="237">
        <f>B42*C42*0.07/360</f>
        <v>5669.1075</v>
      </c>
      <c r="F42" s="237"/>
      <c r="G42" s="237"/>
      <c r="H42" s="14">
        <f>SUM(D41:D44)</f>
        <v>423949</v>
      </c>
    </row>
    <row r="43" spans="1:7" ht="15">
      <c r="A43" s="233" t="s">
        <v>46</v>
      </c>
      <c r="B43" s="234">
        <v>90</v>
      </c>
      <c r="C43" s="235">
        <f>C42-D42</f>
        <v>223949</v>
      </c>
      <c r="D43" s="262">
        <v>123949</v>
      </c>
      <c r="E43" s="237">
        <f>B43*C43*0.07/360</f>
        <v>3919.1075000000005</v>
      </c>
      <c r="F43" s="237"/>
      <c r="G43" s="237"/>
    </row>
    <row r="44" spans="1:7" ht="15.75" thickBot="1">
      <c r="A44" s="238" t="s">
        <v>47</v>
      </c>
      <c r="B44" s="239">
        <v>90</v>
      </c>
      <c r="C44" s="240">
        <f>C43-D43</f>
        <v>100000</v>
      </c>
      <c r="D44" s="263">
        <v>100000</v>
      </c>
      <c r="E44" s="242">
        <f>B44*C44*0.07/360</f>
        <v>1750.0000000000002</v>
      </c>
      <c r="F44" s="242">
        <f>SUM(D41:D44)</f>
        <v>423949</v>
      </c>
      <c r="G44" s="242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1">
      <selection activeCell="O42" sqref="O4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68" t="s">
        <v>218</v>
      </c>
      <c r="B1" s="568"/>
      <c r="C1" s="568"/>
      <c r="D1" s="568"/>
      <c r="E1" s="568"/>
      <c r="F1" s="568"/>
      <c r="G1" s="575"/>
      <c r="H1" s="571" t="s">
        <v>223</v>
      </c>
      <c r="I1" s="573" t="s">
        <v>222</v>
      </c>
      <c r="J1" s="569" t="s">
        <v>220</v>
      </c>
      <c r="K1" s="570"/>
    </row>
    <row r="2" spans="1:11" ht="24" customHeight="1" thickBot="1">
      <c r="A2" s="576"/>
      <c r="B2" s="576"/>
      <c r="C2" s="576"/>
      <c r="D2" s="576"/>
      <c r="E2" s="576"/>
      <c r="F2" s="576"/>
      <c r="G2" s="577"/>
      <c r="H2" s="572"/>
      <c r="I2" s="574"/>
      <c r="J2" s="286" t="s">
        <v>224</v>
      </c>
      <c r="K2" s="287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66" t="s">
        <v>5</v>
      </c>
      <c r="H3" s="276"/>
      <c r="I3" s="276"/>
      <c r="J3" s="288"/>
      <c r="K3" s="288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67"/>
      <c r="H4" s="277">
        <v>2000000</v>
      </c>
      <c r="I4" s="277">
        <v>1265000</v>
      </c>
      <c r="J4" s="283">
        <f>H4+F4</f>
        <v>2000000</v>
      </c>
      <c r="K4" s="283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227">
        <f>B5*C5*5.5%/360</f>
        <v>158125</v>
      </c>
      <c r="F5" s="227">
        <v>0</v>
      </c>
      <c r="G5" s="268">
        <f>E4+E5</f>
        <v>158125</v>
      </c>
      <c r="H5" s="276"/>
      <c r="I5" s="276"/>
      <c r="J5" s="288"/>
      <c r="K5" s="288"/>
    </row>
    <row r="6" spans="1:11" s="2" customFormat="1" ht="15">
      <c r="A6" s="228" t="s">
        <v>8</v>
      </c>
      <c r="B6" s="229">
        <v>90</v>
      </c>
      <c r="C6" s="230">
        <v>18400000</v>
      </c>
      <c r="D6" s="231"/>
      <c r="E6" s="232">
        <f>B6*C6*0.07/360</f>
        <v>322000.00000000006</v>
      </c>
      <c r="F6" s="232"/>
      <c r="G6" s="269"/>
      <c r="H6" s="278"/>
      <c r="I6" s="278"/>
      <c r="J6" s="289"/>
      <c r="K6" s="289"/>
    </row>
    <row r="7" spans="1:11" ht="15">
      <c r="A7" s="233" t="s">
        <v>9</v>
      </c>
      <c r="B7" s="234">
        <v>90</v>
      </c>
      <c r="C7" s="235">
        <f aca="true" t="shared" si="0" ref="C7:C40">C6-D6</f>
        <v>18400000</v>
      </c>
      <c r="D7" s="236"/>
      <c r="E7" s="237">
        <f>B7*C7*0.07/360</f>
        <v>322000.00000000006</v>
      </c>
      <c r="F7" s="237"/>
      <c r="G7" s="270"/>
      <c r="H7" s="277">
        <f>SUM(D6:D9)</f>
        <v>0</v>
      </c>
      <c r="I7" s="276"/>
      <c r="J7" s="288"/>
      <c r="K7" s="288"/>
    </row>
    <row r="8" spans="1:11" ht="15">
      <c r="A8" s="233" t="s">
        <v>10</v>
      </c>
      <c r="B8" s="234">
        <v>90</v>
      </c>
      <c r="C8" s="235">
        <f t="shared" si="0"/>
        <v>18400000</v>
      </c>
      <c r="D8" s="236"/>
      <c r="E8" s="237">
        <f aca="true" t="shared" si="1" ref="E8:E41">B8*C8*0.07/360</f>
        <v>322000.00000000006</v>
      </c>
      <c r="F8" s="237"/>
      <c r="G8" s="270"/>
      <c r="H8" s="276"/>
      <c r="I8" s="276"/>
      <c r="J8" s="288"/>
      <c r="K8" s="288"/>
    </row>
    <row r="9" spans="1:11" ht="15.75" thickBot="1">
      <c r="A9" s="238" t="s">
        <v>11</v>
      </c>
      <c r="B9" s="239">
        <v>90</v>
      </c>
      <c r="C9" s="240">
        <f t="shared" si="0"/>
        <v>18400000</v>
      </c>
      <c r="D9" s="241"/>
      <c r="E9" s="242">
        <f t="shared" si="1"/>
        <v>322000.00000000006</v>
      </c>
      <c r="F9" s="242">
        <f>D7+D8+D9+D6</f>
        <v>0</v>
      </c>
      <c r="G9" s="271">
        <f>SUM(E6:E9)</f>
        <v>1288000.0000000002</v>
      </c>
      <c r="H9" s="277">
        <v>3000000</v>
      </c>
      <c r="I9" s="277">
        <v>1155000</v>
      </c>
      <c r="J9" s="283">
        <f>H9+F9</f>
        <v>3000000</v>
      </c>
      <c r="K9" s="283">
        <f>I9+G9</f>
        <v>2443000</v>
      </c>
    </row>
    <row r="10" spans="1:11" ht="15">
      <c r="A10" s="228" t="s">
        <v>12</v>
      </c>
      <c r="B10" s="229">
        <v>90</v>
      </c>
      <c r="C10" s="230">
        <f t="shared" si="0"/>
        <v>18400000</v>
      </c>
      <c r="D10" s="231"/>
      <c r="E10" s="232">
        <f t="shared" si="1"/>
        <v>322000.00000000006</v>
      </c>
      <c r="F10" s="232"/>
      <c r="G10" s="269"/>
      <c r="H10" s="276"/>
      <c r="I10" s="276"/>
      <c r="J10" s="283">
        <f aca="true" t="shared" si="2" ref="J10:J45">H10+F10</f>
        <v>0</v>
      </c>
      <c r="K10" s="283">
        <f aca="true" t="shared" si="3" ref="K10:K45">I10+G10</f>
        <v>0</v>
      </c>
    </row>
    <row r="11" spans="1:11" ht="15">
      <c r="A11" s="233" t="s">
        <v>13</v>
      </c>
      <c r="B11" s="234">
        <v>90</v>
      </c>
      <c r="C11" s="235">
        <f t="shared" si="0"/>
        <v>18400000</v>
      </c>
      <c r="D11" s="236"/>
      <c r="E11" s="237">
        <f t="shared" si="1"/>
        <v>322000.00000000006</v>
      </c>
      <c r="F11" s="237"/>
      <c r="G11" s="270"/>
      <c r="H11" s="277"/>
      <c r="I11" s="276"/>
      <c r="J11" s="283">
        <f t="shared" si="2"/>
        <v>0</v>
      </c>
      <c r="K11" s="283">
        <f t="shared" si="3"/>
        <v>0</v>
      </c>
    </row>
    <row r="12" spans="1:11" ht="15">
      <c r="A12" s="233" t="s">
        <v>14</v>
      </c>
      <c r="B12" s="234">
        <v>90</v>
      </c>
      <c r="C12" s="235">
        <f t="shared" si="0"/>
        <v>18400000</v>
      </c>
      <c r="D12" s="236"/>
      <c r="E12" s="237">
        <f t="shared" si="1"/>
        <v>322000.00000000006</v>
      </c>
      <c r="F12" s="237"/>
      <c r="G12" s="270"/>
      <c r="H12" s="276"/>
      <c r="I12" s="276"/>
      <c r="J12" s="283">
        <f t="shared" si="2"/>
        <v>0</v>
      </c>
      <c r="K12" s="283">
        <f t="shared" si="3"/>
        <v>0</v>
      </c>
    </row>
    <row r="13" spans="1:11" ht="15.75" thickBot="1">
      <c r="A13" s="238" t="s">
        <v>15</v>
      </c>
      <c r="B13" s="239">
        <v>90</v>
      </c>
      <c r="C13" s="240">
        <f t="shared" si="0"/>
        <v>18400000</v>
      </c>
      <c r="D13" s="241"/>
      <c r="E13" s="242">
        <f t="shared" si="1"/>
        <v>322000.00000000006</v>
      </c>
      <c r="F13" s="242">
        <f>SUM(D10:D13)</f>
        <v>0</v>
      </c>
      <c r="G13" s="271">
        <f>SUM(E10:E13)</f>
        <v>1288000.0000000002</v>
      </c>
      <c r="H13" s="277">
        <v>3000000</v>
      </c>
      <c r="I13" s="277">
        <v>990000</v>
      </c>
      <c r="J13" s="283">
        <f>H13+F13</f>
        <v>3000000</v>
      </c>
      <c r="K13" s="283">
        <f t="shared" si="3"/>
        <v>2278000</v>
      </c>
    </row>
    <row r="14" spans="1:11" ht="15">
      <c r="A14" s="228" t="s">
        <v>16</v>
      </c>
      <c r="B14" s="229">
        <v>90</v>
      </c>
      <c r="C14" s="230">
        <f t="shared" si="0"/>
        <v>18400000</v>
      </c>
      <c r="D14" s="231"/>
      <c r="E14" s="232">
        <f t="shared" si="1"/>
        <v>322000.00000000006</v>
      </c>
      <c r="F14" s="232"/>
      <c r="G14" s="269"/>
      <c r="H14" s="276"/>
      <c r="I14" s="277"/>
      <c r="J14" s="283">
        <f t="shared" si="2"/>
        <v>0</v>
      </c>
      <c r="K14" s="283">
        <f t="shared" si="3"/>
        <v>0</v>
      </c>
    </row>
    <row r="15" spans="1:11" ht="15">
      <c r="A15" s="233" t="s">
        <v>17</v>
      </c>
      <c r="B15" s="234">
        <v>90</v>
      </c>
      <c r="C15" s="235">
        <f t="shared" si="0"/>
        <v>18400000</v>
      </c>
      <c r="D15" s="236"/>
      <c r="E15" s="237">
        <f t="shared" si="1"/>
        <v>322000.00000000006</v>
      </c>
      <c r="F15" s="237"/>
      <c r="G15" s="270"/>
      <c r="H15" s="277"/>
      <c r="I15" s="276"/>
      <c r="J15" s="283">
        <f t="shared" si="2"/>
        <v>0</v>
      </c>
      <c r="K15" s="283">
        <f t="shared" si="3"/>
        <v>0</v>
      </c>
    </row>
    <row r="16" spans="1:11" ht="15">
      <c r="A16" s="233" t="s">
        <v>18</v>
      </c>
      <c r="B16" s="234">
        <v>90</v>
      </c>
      <c r="C16" s="235">
        <f t="shared" si="0"/>
        <v>18400000</v>
      </c>
      <c r="D16" s="236"/>
      <c r="E16" s="237">
        <f t="shared" si="1"/>
        <v>322000.00000000006</v>
      </c>
      <c r="F16" s="237"/>
      <c r="G16" s="270"/>
      <c r="H16" s="276"/>
      <c r="I16" s="276"/>
      <c r="J16" s="283">
        <f t="shared" si="2"/>
        <v>0</v>
      </c>
      <c r="K16" s="283">
        <f t="shared" si="3"/>
        <v>0</v>
      </c>
    </row>
    <row r="17" spans="1:11" ht="15.75" thickBot="1">
      <c r="A17" s="238" t="s">
        <v>19</v>
      </c>
      <c r="B17" s="239">
        <v>90</v>
      </c>
      <c r="C17" s="240">
        <f t="shared" si="0"/>
        <v>18400000</v>
      </c>
      <c r="D17" s="241"/>
      <c r="E17" s="242">
        <f t="shared" si="1"/>
        <v>322000.00000000006</v>
      </c>
      <c r="F17" s="242">
        <f>SUM(D14:D17)</f>
        <v>0</v>
      </c>
      <c r="G17" s="271">
        <f>SUM(E14:E17)</f>
        <v>1288000.0000000002</v>
      </c>
      <c r="H17" s="277">
        <v>3000000</v>
      </c>
      <c r="I17" s="277">
        <v>825000</v>
      </c>
      <c r="J17" s="283">
        <f t="shared" si="2"/>
        <v>3000000</v>
      </c>
      <c r="K17" s="283">
        <f t="shared" si="3"/>
        <v>2113000</v>
      </c>
    </row>
    <row r="18" spans="1:30" ht="15">
      <c r="A18" s="228" t="s">
        <v>20</v>
      </c>
      <c r="B18" s="229">
        <v>90</v>
      </c>
      <c r="C18" s="230">
        <f t="shared" si="0"/>
        <v>18400000</v>
      </c>
      <c r="D18" s="231"/>
      <c r="E18" s="232">
        <f t="shared" si="1"/>
        <v>322000.00000000006</v>
      </c>
      <c r="F18" s="232"/>
      <c r="G18" s="269"/>
      <c r="H18" s="276"/>
      <c r="I18" s="276"/>
      <c r="J18" s="283">
        <f t="shared" si="2"/>
        <v>0</v>
      </c>
      <c r="K18" s="283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33" t="s">
        <v>21</v>
      </c>
      <c r="B19" s="234">
        <v>90</v>
      </c>
      <c r="C19" s="235">
        <f t="shared" si="0"/>
        <v>18400000</v>
      </c>
      <c r="D19" s="236"/>
      <c r="E19" s="237">
        <f t="shared" si="1"/>
        <v>322000.00000000006</v>
      </c>
      <c r="F19" s="237"/>
      <c r="G19" s="270"/>
      <c r="H19" s="277"/>
      <c r="I19" s="276"/>
      <c r="J19" s="283">
        <f t="shared" si="2"/>
        <v>0</v>
      </c>
      <c r="K19" s="283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43" t="s">
        <v>22</v>
      </c>
      <c r="B20" s="244">
        <v>90</v>
      </c>
      <c r="C20" s="235">
        <f t="shared" si="0"/>
        <v>18400000</v>
      </c>
      <c r="D20" s="236"/>
      <c r="E20" s="237">
        <f t="shared" si="1"/>
        <v>322000.00000000006</v>
      </c>
      <c r="F20" s="245"/>
      <c r="G20" s="272"/>
      <c r="H20" s="279"/>
      <c r="I20" s="280"/>
      <c r="J20" s="283">
        <f t="shared" si="2"/>
        <v>0</v>
      </c>
      <c r="K20" s="283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46" t="s">
        <v>23</v>
      </c>
      <c r="B21" s="247">
        <v>90</v>
      </c>
      <c r="C21" s="240">
        <f t="shared" si="0"/>
        <v>18400000</v>
      </c>
      <c r="D21" s="241"/>
      <c r="E21" s="242">
        <f t="shared" si="1"/>
        <v>322000.00000000006</v>
      </c>
      <c r="F21" s="248">
        <f>SUM(D18:D21)</f>
        <v>0</v>
      </c>
      <c r="G21" s="273">
        <f>SUM(E18:E21)</f>
        <v>1288000.0000000002</v>
      </c>
      <c r="H21" s="277">
        <v>3000000</v>
      </c>
      <c r="I21" s="281">
        <v>660000</v>
      </c>
      <c r="J21" s="283">
        <f t="shared" si="2"/>
        <v>3000000</v>
      </c>
      <c r="K21" s="283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28" t="s">
        <v>24</v>
      </c>
      <c r="B22" s="229">
        <v>90</v>
      </c>
      <c r="C22" s="230">
        <f t="shared" si="0"/>
        <v>18400000</v>
      </c>
      <c r="D22" s="231"/>
      <c r="E22" s="232">
        <f t="shared" si="1"/>
        <v>322000.00000000006</v>
      </c>
      <c r="F22" s="232"/>
      <c r="G22" s="269"/>
      <c r="H22" s="276"/>
      <c r="I22" s="276"/>
      <c r="J22" s="283">
        <f t="shared" si="2"/>
        <v>0</v>
      </c>
      <c r="K22" s="283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33" t="s">
        <v>25</v>
      </c>
      <c r="B23" s="234">
        <v>90</v>
      </c>
      <c r="C23" s="235">
        <f t="shared" si="0"/>
        <v>18400000</v>
      </c>
      <c r="D23" s="236"/>
      <c r="E23" s="237">
        <f t="shared" si="1"/>
        <v>322000.00000000006</v>
      </c>
      <c r="F23" s="237"/>
      <c r="G23" s="270"/>
      <c r="H23" s="277"/>
      <c r="I23" s="276"/>
      <c r="J23" s="283">
        <f t="shared" si="2"/>
        <v>0</v>
      </c>
      <c r="K23" s="283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33" t="s">
        <v>26</v>
      </c>
      <c r="B24" s="234">
        <v>90</v>
      </c>
      <c r="C24" s="235">
        <f t="shared" si="0"/>
        <v>18400000</v>
      </c>
      <c r="D24" s="236"/>
      <c r="E24" s="237">
        <f t="shared" si="1"/>
        <v>322000.00000000006</v>
      </c>
      <c r="F24" s="237"/>
      <c r="G24" s="270"/>
      <c r="H24" s="276"/>
      <c r="I24" s="276"/>
      <c r="J24" s="283">
        <f t="shared" si="2"/>
        <v>0</v>
      </c>
      <c r="K24" s="283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38" t="s">
        <v>27</v>
      </c>
      <c r="B25" s="239">
        <v>90</v>
      </c>
      <c r="C25" s="240">
        <f t="shared" si="0"/>
        <v>18400000</v>
      </c>
      <c r="D25" s="241"/>
      <c r="E25" s="242">
        <f t="shared" si="1"/>
        <v>322000.00000000006</v>
      </c>
      <c r="F25" s="242">
        <f>SUM(D22:D25)</f>
        <v>0</v>
      </c>
      <c r="G25" s="271">
        <f>SUM(E22:E25)</f>
        <v>1288000.0000000002</v>
      </c>
      <c r="H25" s="277">
        <v>3000000</v>
      </c>
      <c r="I25" s="277">
        <v>495000</v>
      </c>
      <c r="J25" s="283">
        <f t="shared" si="2"/>
        <v>3000000</v>
      </c>
      <c r="K25" s="283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55" t="s">
        <v>28</v>
      </c>
      <c r="B26" s="256">
        <v>90</v>
      </c>
      <c r="C26" s="257">
        <f t="shared" si="0"/>
        <v>18400000</v>
      </c>
      <c r="D26" s="231"/>
      <c r="E26" s="232">
        <f t="shared" si="1"/>
        <v>322000.00000000006</v>
      </c>
      <c r="F26" s="258"/>
      <c r="G26" s="274"/>
      <c r="H26" s="280"/>
      <c r="I26" s="280"/>
      <c r="J26" s="283">
        <f t="shared" si="2"/>
        <v>0</v>
      </c>
      <c r="K26" s="283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43" t="s">
        <v>29</v>
      </c>
      <c r="B27" s="244">
        <v>90</v>
      </c>
      <c r="C27" s="259">
        <f t="shared" si="0"/>
        <v>18400000</v>
      </c>
      <c r="D27" s="236"/>
      <c r="E27" s="237">
        <f t="shared" si="1"/>
        <v>322000.00000000006</v>
      </c>
      <c r="F27" s="245"/>
      <c r="G27" s="272"/>
      <c r="H27" s="281"/>
      <c r="I27" s="280"/>
      <c r="J27" s="283">
        <f t="shared" si="2"/>
        <v>0</v>
      </c>
      <c r="K27" s="283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43" t="s">
        <v>30</v>
      </c>
      <c r="B28" s="244">
        <v>90</v>
      </c>
      <c r="C28" s="259">
        <f t="shared" si="0"/>
        <v>18400000</v>
      </c>
      <c r="D28" s="236"/>
      <c r="E28" s="237">
        <f t="shared" si="1"/>
        <v>322000.00000000006</v>
      </c>
      <c r="F28" s="245"/>
      <c r="G28" s="272"/>
      <c r="H28" s="280"/>
      <c r="I28" s="280"/>
      <c r="J28" s="283">
        <f t="shared" si="2"/>
        <v>0</v>
      </c>
      <c r="K28" s="283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49" t="s">
        <v>31</v>
      </c>
      <c r="B29" s="250">
        <v>90</v>
      </c>
      <c r="C29" s="264">
        <f t="shared" si="0"/>
        <v>18400000</v>
      </c>
      <c r="D29" s="252"/>
      <c r="E29" s="253">
        <f t="shared" si="1"/>
        <v>322000.00000000006</v>
      </c>
      <c r="F29" s="254">
        <f>SUM(D26:D29)</f>
        <v>0</v>
      </c>
      <c r="G29" s="275">
        <f>SUM(E26:E29)</f>
        <v>1288000.0000000002</v>
      </c>
      <c r="H29" s="277">
        <v>3000000</v>
      </c>
      <c r="I29" s="281">
        <v>360000</v>
      </c>
      <c r="J29" s="283">
        <f t="shared" si="2"/>
        <v>3000000</v>
      </c>
      <c r="K29" s="283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28" t="s">
        <v>32</v>
      </c>
      <c r="B30" s="229">
        <v>90</v>
      </c>
      <c r="C30" s="230">
        <f t="shared" si="0"/>
        <v>18400000</v>
      </c>
      <c r="D30" s="231">
        <v>500000</v>
      </c>
      <c r="E30" s="232">
        <f t="shared" si="1"/>
        <v>322000.00000000006</v>
      </c>
      <c r="F30" s="232"/>
      <c r="G30" s="269"/>
      <c r="H30" s="282"/>
      <c r="I30" s="276"/>
      <c r="J30" s="283">
        <f t="shared" si="2"/>
        <v>0</v>
      </c>
      <c r="K30" s="283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33" t="s">
        <v>33</v>
      </c>
      <c r="B31" s="234">
        <v>90</v>
      </c>
      <c r="C31" s="235">
        <f t="shared" si="0"/>
        <v>17900000</v>
      </c>
      <c r="D31" s="236">
        <v>500000</v>
      </c>
      <c r="E31" s="237">
        <f t="shared" si="1"/>
        <v>313250.00000000006</v>
      </c>
      <c r="F31" s="237"/>
      <c r="G31" s="270"/>
      <c r="H31" s="277"/>
      <c r="I31" s="276"/>
      <c r="J31" s="283">
        <f t="shared" si="2"/>
        <v>0</v>
      </c>
      <c r="K31" s="283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33" t="s">
        <v>34</v>
      </c>
      <c r="B32" s="234">
        <v>90</v>
      </c>
      <c r="C32" s="235">
        <f t="shared" si="0"/>
        <v>17400000</v>
      </c>
      <c r="D32" s="236">
        <v>500000</v>
      </c>
      <c r="E32" s="237">
        <f t="shared" si="1"/>
        <v>304500.00000000006</v>
      </c>
      <c r="F32" s="237"/>
      <c r="G32" s="270"/>
      <c r="H32" s="276"/>
      <c r="I32" s="276"/>
      <c r="J32" s="283">
        <f t="shared" si="2"/>
        <v>0</v>
      </c>
      <c r="K32" s="283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38" t="s">
        <v>35</v>
      </c>
      <c r="B33" s="239">
        <v>90</v>
      </c>
      <c r="C33" s="240">
        <f t="shared" si="0"/>
        <v>16900000</v>
      </c>
      <c r="D33" s="241">
        <v>500000</v>
      </c>
      <c r="E33" s="242">
        <f t="shared" si="1"/>
        <v>295750.00000000006</v>
      </c>
      <c r="F33" s="242">
        <f>SUM(D30:D33)</f>
        <v>2000000</v>
      </c>
      <c r="G33" s="271">
        <f>SUM(E30:E33)</f>
        <v>1235500.0000000002</v>
      </c>
      <c r="H33" s="277">
        <v>3000000</v>
      </c>
      <c r="I33" s="277">
        <v>180000</v>
      </c>
      <c r="J33" s="283">
        <f t="shared" si="2"/>
        <v>5000000</v>
      </c>
      <c r="K33" s="283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55" t="s">
        <v>36</v>
      </c>
      <c r="B34" s="256">
        <v>90</v>
      </c>
      <c r="C34" s="257">
        <f t="shared" si="0"/>
        <v>16400000</v>
      </c>
      <c r="D34" s="261">
        <v>1475000</v>
      </c>
      <c r="E34" s="258">
        <f t="shared" si="1"/>
        <v>287000.00000000006</v>
      </c>
      <c r="F34" s="258"/>
      <c r="G34" s="274"/>
      <c r="H34" s="280"/>
      <c r="I34" s="280"/>
      <c r="J34" s="283">
        <f t="shared" si="2"/>
        <v>0</v>
      </c>
      <c r="K34" s="283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43" t="s">
        <v>37</v>
      </c>
      <c r="B35" s="244">
        <v>90</v>
      </c>
      <c r="C35" s="259">
        <f t="shared" si="0"/>
        <v>14925000</v>
      </c>
      <c r="D35" s="262">
        <f>D34</f>
        <v>1475000</v>
      </c>
      <c r="E35" s="245">
        <f t="shared" si="1"/>
        <v>261187.50000000003</v>
      </c>
      <c r="F35" s="245"/>
      <c r="G35" s="272"/>
      <c r="H35" s="281"/>
      <c r="I35" s="280"/>
      <c r="J35" s="283">
        <f t="shared" si="2"/>
        <v>0</v>
      </c>
      <c r="K35" s="283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43" t="s">
        <v>38</v>
      </c>
      <c r="B36" s="244">
        <v>90</v>
      </c>
      <c r="C36" s="259">
        <f t="shared" si="0"/>
        <v>13450000</v>
      </c>
      <c r="D36" s="262">
        <v>1725000</v>
      </c>
      <c r="E36" s="245">
        <f t="shared" si="1"/>
        <v>235375.00000000003</v>
      </c>
      <c r="F36" s="245"/>
      <c r="G36" s="272"/>
      <c r="H36" s="280"/>
      <c r="I36" s="280"/>
      <c r="J36" s="283">
        <f t="shared" si="2"/>
        <v>0</v>
      </c>
      <c r="K36" s="283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46" t="s">
        <v>39</v>
      </c>
      <c r="B37" s="247">
        <v>90</v>
      </c>
      <c r="C37" s="260">
        <f t="shared" si="0"/>
        <v>11725000</v>
      </c>
      <c r="D37" s="263">
        <v>1925000</v>
      </c>
      <c r="E37" s="248">
        <f t="shared" si="1"/>
        <v>205187.5</v>
      </c>
      <c r="F37" s="248">
        <f>SUM(D34:D37)</f>
        <v>6600000</v>
      </c>
      <c r="G37" s="273">
        <f>SUM(E34:E37)</f>
        <v>988750.0000000001</v>
      </c>
      <c r="H37" s="277"/>
      <c r="I37" s="280"/>
      <c r="J37" s="283">
        <f t="shared" si="2"/>
        <v>6600000</v>
      </c>
      <c r="K37" s="283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28" t="s">
        <v>40</v>
      </c>
      <c r="B38" s="229">
        <v>90</v>
      </c>
      <c r="C38" s="230">
        <f t="shared" si="0"/>
        <v>9800000</v>
      </c>
      <c r="D38" s="261">
        <v>1250000</v>
      </c>
      <c r="E38" s="232">
        <f>B38*C38*0.07/360</f>
        <v>171500.00000000003</v>
      </c>
      <c r="F38" s="232"/>
      <c r="G38" s="269"/>
      <c r="H38" s="276"/>
      <c r="I38" s="276"/>
      <c r="J38" s="283">
        <f t="shared" si="2"/>
        <v>0</v>
      </c>
      <c r="K38" s="283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33" t="s">
        <v>41</v>
      </c>
      <c r="B39" s="234">
        <v>90</v>
      </c>
      <c r="C39" s="235">
        <f t="shared" si="0"/>
        <v>8550000</v>
      </c>
      <c r="D39" s="262">
        <f>D38</f>
        <v>1250000</v>
      </c>
      <c r="E39" s="237">
        <f t="shared" si="1"/>
        <v>149625.00000000003</v>
      </c>
      <c r="F39" s="237"/>
      <c r="G39" s="270"/>
      <c r="H39" s="277"/>
      <c r="I39" s="276"/>
      <c r="J39" s="283">
        <f t="shared" si="2"/>
        <v>0</v>
      </c>
      <c r="K39" s="283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33" t="s">
        <v>42</v>
      </c>
      <c r="B40" s="234">
        <v>90</v>
      </c>
      <c r="C40" s="235">
        <f t="shared" si="0"/>
        <v>7300000</v>
      </c>
      <c r="D40" s="262">
        <v>1500000</v>
      </c>
      <c r="E40" s="237">
        <f t="shared" si="1"/>
        <v>127750.00000000001</v>
      </c>
      <c r="F40" s="237"/>
      <c r="G40" s="270"/>
      <c r="H40" s="276"/>
      <c r="I40" s="276"/>
      <c r="J40" s="283">
        <f t="shared" si="2"/>
        <v>0</v>
      </c>
      <c r="K40" s="283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38" t="s">
        <v>43</v>
      </c>
      <c r="B41" s="239">
        <v>90</v>
      </c>
      <c r="C41" s="240">
        <f aca="true" t="shared" si="4" ref="C41:C49">C40-D40</f>
        <v>5800000</v>
      </c>
      <c r="D41" s="263">
        <v>1700000</v>
      </c>
      <c r="E41" s="242">
        <f t="shared" si="1"/>
        <v>101500</v>
      </c>
      <c r="F41" s="242">
        <f>SUM(D38:D41)</f>
        <v>5700000</v>
      </c>
      <c r="G41" s="271">
        <f>SUM(E38:E41)</f>
        <v>550375</v>
      </c>
      <c r="H41" s="277"/>
      <c r="I41" s="276"/>
      <c r="J41" s="283">
        <f t="shared" si="2"/>
        <v>5700000</v>
      </c>
      <c r="K41" s="283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28" t="s">
        <v>44</v>
      </c>
      <c r="B42" s="229">
        <v>90</v>
      </c>
      <c r="C42" s="230">
        <f t="shared" si="4"/>
        <v>4100000</v>
      </c>
      <c r="D42" s="261">
        <v>1100000</v>
      </c>
      <c r="E42" s="232">
        <f aca="true" t="shared" si="5" ref="E42:E49">B42*C42*0.07/360</f>
        <v>71750.00000000001</v>
      </c>
      <c r="F42" s="232"/>
      <c r="G42" s="269"/>
      <c r="H42" s="276"/>
      <c r="I42" s="276"/>
      <c r="J42" s="283">
        <f t="shared" si="2"/>
        <v>0</v>
      </c>
      <c r="K42" s="283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33" t="s">
        <v>45</v>
      </c>
      <c r="B43" s="234">
        <v>90</v>
      </c>
      <c r="C43" s="235">
        <f t="shared" si="4"/>
        <v>3000000</v>
      </c>
      <c r="D43" s="262">
        <v>1000000</v>
      </c>
      <c r="E43" s="237">
        <f t="shared" si="5"/>
        <v>52500</v>
      </c>
      <c r="F43" s="237"/>
      <c r="G43" s="270"/>
      <c r="H43" s="277"/>
      <c r="I43" s="276"/>
      <c r="J43" s="283">
        <f t="shared" si="2"/>
        <v>0</v>
      </c>
      <c r="K43" s="283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33" t="s">
        <v>46</v>
      </c>
      <c r="B44" s="234">
        <v>90</v>
      </c>
      <c r="C44" s="235">
        <f t="shared" si="4"/>
        <v>2000000</v>
      </c>
      <c r="D44" s="262">
        <v>1000000</v>
      </c>
      <c r="E44" s="237">
        <f t="shared" si="5"/>
        <v>35000.00000000001</v>
      </c>
      <c r="F44" s="237"/>
      <c r="G44" s="270"/>
      <c r="H44" s="276"/>
      <c r="I44" s="276"/>
      <c r="J44" s="283">
        <f t="shared" si="2"/>
        <v>0</v>
      </c>
      <c r="K44" s="283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38" t="s">
        <v>47</v>
      </c>
      <c r="B45" s="239">
        <v>90</v>
      </c>
      <c r="C45" s="240">
        <f t="shared" si="4"/>
        <v>1000000</v>
      </c>
      <c r="D45" s="263">
        <v>1000000</v>
      </c>
      <c r="E45" s="242">
        <f t="shared" si="5"/>
        <v>17500.000000000004</v>
      </c>
      <c r="F45" s="242">
        <f>SUM(D42:D45)</f>
        <v>4100000</v>
      </c>
      <c r="G45" s="271">
        <f>SUM(E42:E45)</f>
        <v>176750.00000000003</v>
      </c>
      <c r="H45" s="276"/>
      <c r="I45" s="276"/>
      <c r="J45" s="283">
        <f t="shared" si="2"/>
        <v>4100000</v>
      </c>
      <c r="K45" s="283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28" t="s">
        <v>44</v>
      </c>
      <c r="B46" s="229">
        <v>90</v>
      </c>
      <c r="C46" s="230">
        <f t="shared" si="4"/>
        <v>0</v>
      </c>
      <c r="D46" s="261"/>
      <c r="E46" s="232">
        <f t="shared" si="5"/>
        <v>0</v>
      </c>
      <c r="F46" s="232"/>
      <c r="G46" s="269"/>
      <c r="H46" s="276"/>
      <c r="I46" s="276"/>
      <c r="J46" s="283">
        <f aca="true" t="shared" si="6" ref="J46:K49">H46+F46</f>
        <v>0</v>
      </c>
      <c r="K46" s="283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33" t="s">
        <v>45</v>
      </c>
      <c r="B47" s="234">
        <v>90</v>
      </c>
      <c r="C47" s="235">
        <f t="shared" si="4"/>
        <v>0</v>
      </c>
      <c r="D47" s="262"/>
      <c r="E47" s="237">
        <f t="shared" si="5"/>
        <v>0</v>
      </c>
      <c r="F47" s="237"/>
      <c r="G47" s="270"/>
      <c r="H47" s="277"/>
      <c r="I47" s="276"/>
      <c r="J47" s="283">
        <f t="shared" si="6"/>
        <v>0</v>
      </c>
      <c r="K47" s="283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33" t="s">
        <v>46</v>
      </c>
      <c r="B48" s="234">
        <v>90</v>
      </c>
      <c r="C48" s="235">
        <f t="shared" si="4"/>
        <v>0</v>
      </c>
      <c r="D48" s="262"/>
      <c r="E48" s="237">
        <f t="shared" si="5"/>
        <v>0</v>
      </c>
      <c r="F48" s="237"/>
      <c r="G48" s="270"/>
      <c r="H48" s="276"/>
      <c r="I48" s="276"/>
      <c r="J48" s="283">
        <f t="shared" si="6"/>
        <v>0</v>
      </c>
      <c r="K48" s="283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38" t="s">
        <v>47</v>
      </c>
      <c r="B49" s="239">
        <v>90</v>
      </c>
      <c r="C49" s="240">
        <f t="shared" si="4"/>
        <v>0</v>
      </c>
      <c r="D49" s="263"/>
      <c r="E49" s="242">
        <f t="shared" si="5"/>
        <v>0</v>
      </c>
      <c r="F49" s="242">
        <f>SUM(D46:D49)</f>
        <v>0</v>
      </c>
      <c r="G49" s="271">
        <f>SUM(E46:E49)</f>
        <v>0</v>
      </c>
      <c r="H49" s="276"/>
      <c r="I49" s="276"/>
      <c r="J49" s="283">
        <f t="shared" si="6"/>
        <v>0</v>
      </c>
      <c r="K49" s="283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90"/>
      <c r="K51" s="29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67" t="s">
        <v>225</v>
      </c>
      <c r="B1" s="567"/>
      <c r="C1" s="567"/>
      <c r="D1" s="567"/>
      <c r="E1" s="567"/>
      <c r="F1" s="567"/>
      <c r="G1" s="567"/>
    </row>
    <row r="2" spans="1:11" ht="21.75" customHeight="1" thickBot="1">
      <c r="A2" s="496" t="s">
        <v>0</v>
      </c>
      <c r="B2" s="497"/>
      <c r="C2" s="498" t="s">
        <v>1</v>
      </c>
      <c r="D2" s="498" t="s">
        <v>2</v>
      </c>
      <c r="E2" s="499" t="s">
        <v>3</v>
      </c>
      <c r="F2" s="498" t="s">
        <v>4</v>
      </c>
      <c r="G2" s="500" t="s">
        <v>5</v>
      </c>
      <c r="H2" s="501" t="s">
        <v>219</v>
      </c>
      <c r="I2" s="502" t="s">
        <v>3</v>
      </c>
      <c r="J2" s="503" t="s">
        <v>221</v>
      </c>
      <c r="K2" s="503" t="s">
        <v>3</v>
      </c>
    </row>
    <row r="3" spans="1:11" ht="12.75">
      <c r="A3" s="504" t="s">
        <v>6</v>
      </c>
      <c r="B3" s="505">
        <v>90</v>
      </c>
      <c r="C3" s="506">
        <v>0</v>
      </c>
      <c r="D3" s="12">
        <v>0</v>
      </c>
      <c r="E3" s="13">
        <v>0</v>
      </c>
      <c r="F3" s="13">
        <v>0</v>
      </c>
      <c r="G3" s="267"/>
      <c r="H3" s="507">
        <v>2141585</v>
      </c>
      <c r="I3" s="508">
        <v>733601</v>
      </c>
      <c r="J3" s="509">
        <f>H3+'spł poż'!F8</f>
        <v>2191585</v>
      </c>
      <c r="K3" s="509">
        <f>I3+'spł poż'!G8</f>
        <v>907289</v>
      </c>
    </row>
    <row r="4" spans="1:11" ht="0.75" customHeight="1" thickBot="1">
      <c r="A4" s="510" t="s">
        <v>7</v>
      </c>
      <c r="B4" s="511">
        <v>90</v>
      </c>
      <c r="C4" s="512">
        <f>C3</f>
        <v>0</v>
      </c>
      <c r="D4" s="12">
        <v>0</v>
      </c>
      <c r="E4" s="227">
        <f>B4*C4*5.5%/360</f>
        <v>0</v>
      </c>
      <c r="F4" s="227">
        <v>0</v>
      </c>
      <c r="G4" s="268">
        <f>E3+E4</f>
        <v>0</v>
      </c>
      <c r="H4" s="513"/>
      <c r="I4" s="514"/>
      <c r="J4" s="515"/>
      <c r="K4" s="515"/>
    </row>
    <row r="5" spans="1:36" s="2" customFormat="1" ht="12.75">
      <c r="A5" s="516" t="s">
        <v>8</v>
      </c>
      <c r="B5" s="517">
        <v>90</v>
      </c>
      <c r="C5" s="231">
        <f>C4-D4</f>
        <v>0</v>
      </c>
      <c r="D5" s="231">
        <v>0</v>
      </c>
      <c r="E5" s="232">
        <f>B5*C5*5.5%/360</f>
        <v>0</v>
      </c>
      <c r="F5" s="232"/>
      <c r="G5" s="269"/>
      <c r="H5" s="292"/>
      <c r="I5" s="293"/>
      <c r="J5" s="284"/>
      <c r="K5" s="28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518" t="s">
        <v>9</v>
      </c>
      <c r="B6" s="519">
        <v>90</v>
      </c>
      <c r="C6" s="236">
        <f>C5-D5</f>
        <v>0</v>
      </c>
      <c r="D6" s="236">
        <v>0</v>
      </c>
      <c r="E6" s="237">
        <f>B6*C6*5.5%/360</f>
        <v>0</v>
      </c>
      <c r="F6" s="237"/>
      <c r="G6" s="270"/>
      <c r="H6" s="513"/>
      <c r="I6" s="514"/>
      <c r="J6" s="520"/>
      <c r="K6" s="520"/>
    </row>
    <row r="7" spans="1:11" ht="12.75">
      <c r="A7" s="518" t="s">
        <v>10</v>
      </c>
      <c r="B7" s="519">
        <v>90</v>
      </c>
      <c r="C7" s="236">
        <v>10000000</v>
      </c>
      <c r="D7" s="236">
        <v>0</v>
      </c>
      <c r="E7" s="237">
        <v>125000</v>
      </c>
      <c r="F7" s="237"/>
      <c r="G7" s="270"/>
      <c r="H7" s="513"/>
      <c r="I7" s="514"/>
      <c r="J7" s="520"/>
      <c r="K7" s="520"/>
    </row>
    <row r="8" spans="1:11" ht="13.5" thickBot="1">
      <c r="A8" s="521" t="s">
        <v>11</v>
      </c>
      <c r="B8" s="522">
        <v>90</v>
      </c>
      <c r="C8" s="241">
        <v>10000000</v>
      </c>
      <c r="D8" s="241">
        <v>0</v>
      </c>
      <c r="E8" s="237">
        <f>B8*C8*7%/360</f>
        <v>175000.00000000003</v>
      </c>
      <c r="F8" s="242">
        <f>D6+D7+D8</f>
        <v>0</v>
      </c>
      <c r="G8" s="271">
        <f>SUM(E5:E8)</f>
        <v>300000</v>
      </c>
      <c r="H8" s="523">
        <v>3485040</v>
      </c>
      <c r="I8" s="524">
        <v>697952</v>
      </c>
      <c r="J8" s="525">
        <f>H8+F8+'spł poż'!F8</f>
        <v>3535040</v>
      </c>
      <c r="K8" s="525">
        <f>I8+G8+'spł poż'!G8</f>
        <v>1171640</v>
      </c>
    </row>
    <row r="9" spans="1:11" ht="12.75">
      <c r="A9" s="516" t="s">
        <v>12</v>
      </c>
      <c r="B9" s="517">
        <v>90</v>
      </c>
      <c r="C9" s="231">
        <f>C8-D8</f>
        <v>10000000</v>
      </c>
      <c r="D9" s="231"/>
      <c r="E9" s="232">
        <f>B9*C9*0.07/360</f>
        <v>175000.00000000003</v>
      </c>
      <c r="F9" s="232"/>
      <c r="G9" s="269"/>
      <c r="H9" s="513"/>
      <c r="I9" s="514"/>
      <c r="J9" s="526">
        <f>H9+F9+'spł poż'!F9</f>
        <v>0</v>
      </c>
      <c r="K9" s="526">
        <f>I9+G9+'spł poż'!G9</f>
        <v>0</v>
      </c>
    </row>
    <row r="10" spans="1:11" ht="12.75">
      <c r="A10" s="518" t="s">
        <v>13</v>
      </c>
      <c r="B10" s="519">
        <v>90</v>
      </c>
      <c r="C10" s="236">
        <f aca="true" t="shared" si="0" ref="C10:C43">C9-D9</f>
        <v>10000000</v>
      </c>
      <c r="D10" s="236">
        <v>50000</v>
      </c>
      <c r="E10" s="237">
        <f aca="true" t="shared" si="1" ref="E10:E40">B10*C10*0.07/360</f>
        <v>175000.00000000003</v>
      </c>
      <c r="F10" s="237"/>
      <c r="G10" s="270"/>
      <c r="H10" s="513"/>
      <c r="I10" s="514"/>
      <c r="J10" s="527">
        <f>H10+F10+'spł poż'!F10</f>
        <v>0</v>
      </c>
      <c r="K10" s="527">
        <f>I10+G10+'spł poż'!G10</f>
        <v>0</v>
      </c>
    </row>
    <row r="11" spans="1:11" ht="12.75">
      <c r="A11" s="518" t="s">
        <v>14</v>
      </c>
      <c r="B11" s="519">
        <v>90</v>
      </c>
      <c r="C11" s="236">
        <f t="shared" si="0"/>
        <v>9950000</v>
      </c>
      <c r="D11" s="236"/>
      <c r="E11" s="237">
        <f t="shared" si="1"/>
        <v>174125.00000000003</v>
      </c>
      <c r="F11" s="237"/>
      <c r="G11" s="270"/>
      <c r="H11" s="513"/>
      <c r="I11" s="514"/>
      <c r="J11" s="527">
        <f>H11+F11+'spł poż'!F11</f>
        <v>0</v>
      </c>
      <c r="K11" s="527">
        <f>I11+G11+'spł poż'!G11</f>
        <v>0</v>
      </c>
    </row>
    <row r="12" spans="1:11" ht="13.5" thickBot="1">
      <c r="A12" s="521" t="s">
        <v>15</v>
      </c>
      <c r="B12" s="522">
        <v>90</v>
      </c>
      <c r="C12" s="241">
        <f t="shared" si="0"/>
        <v>9950000</v>
      </c>
      <c r="D12" s="241"/>
      <c r="E12" s="242">
        <f t="shared" si="1"/>
        <v>174125.00000000003</v>
      </c>
      <c r="F12" s="242">
        <f>SUM(D9:D12)</f>
        <v>50000</v>
      </c>
      <c r="G12" s="271">
        <f>SUM(E9:E12)</f>
        <v>698250.0000000001</v>
      </c>
      <c r="H12" s="523">
        <v>3616899</v>
      </c>
      <c r="I12" s="524">
        <v>575506</v>
      </c>
      <c r="J12" s="525">
        <f>H12+'spł poż'!F12</f>
        <v>3666899</v>
      </c>
      <c r="K12" s="525">
        <f>I12+G12+'spł poż'!G12</f>
        <v>1443944</v>
      </c>
    </row>
    <row r="13" spans="1:11" ht="12.75">
      <c r="A13" s="516" t="s">
        <v>16</v>
      </c>
      <c r="B13" s="517">
        <v>90</v>
      </c>
      <c r="C13" s="231">
        <f t="shared" si="0"/>
        <v>9950000</v>
      </c>
      <c r="D13" s="231"/>
      <c r="E13" s="232">
        <f t="shared" si="1"/>
        <v>174125.00000000003</v>
      </c>
      <c r="F13" s="232"/>
      <c r="G13" s="269"/>
      <c r="H13" s="513"/>
      <c r="I13" s="514"/>
      <c r="J13" s="526">
        <f>H13+F13+'spł poż'!F13</f>
        <v>0</v>
      </c>
      <c r="K13" s="526">
        <f>I13+G13+'spł poż'!G13</f>
        <v>0</v>
      </c>
    </row>
    <row r="14" spans="1:11" ht="12.75">
      <c r="A14" s="518" t="s">
        <v>17</v>
      </c>
      <c r="B14" s="519">
        <v>90</v>
      </c>
      <c r="C14" s="236">
        <f t="shared" si="0"/>
        <v>9950000</v>
      </c>
      <c r="D14" s="236">
        <v>50000</v>
      </c>
      <c r="E14" s="237">
        <f t="shared" si="1"/>
        <v>174125.00000000003</v>
      </c>
      <c r="F14" s="237"/>
      <c r="G14" s="270"/>
      <c r="H14" s="513"/>
      <c r="I14" s="514"/>
      <c r="J14" s="527">
        <f>H14+F14+'spł poż'!F14</f>
        <v>0</v>
      </c>
      <c r="K14" s="527">
        <f>I14+G14+'spł poż'!G14</f>
        <v>0</v>
      </c>
    </row>
    <row r="15" spans="1:11" ht="12.75">
      <c r="A15" s="518" t="s">
        <v>18</v>
      </c>
      <c r="B15" s="519">
        <v>90</v>
      </c>
      <c r="C15" s="236">
        <f t="shared" si="0"/>
        <v>9900000</v>
      </c>
      <c r="D15" s="236"/>
      <c r="E15" s="237">
        <f t="shared" si="1"/>
        <v>173250.00000000003</v>
      </c>
      <c r="F15" s="237"/>
      <c r="G15" s="270"/>
      <c r="H15" s="513"/>
      <c r="I15" s="514"/>
      <c r="J15" s="527">
        <f>H15+F15+'spł poż'!F15</f>
        <v>0</v>
      </c>
      <c r="K15" s="527">
        <f>I15+G15+'spł poż'!G15</f>
        <v>0</v>
      </c>
    </row>
    <row r="16" spans="1:11" ht="13.5" thickBot="1">
      <c r="A16" s="521" t="s">
        <v>19</v>
      </c>
      <c r="B16" s="522">
        <v>90</v>
      </c>
      <c r="C16" s="241">
        <f t="shared" si="0"/>
        <v>9900000</v>
      </c>
      <c r="D16" s="241"/>
      <c r="E16" s="242">
        <f t="shared" si="1"/>
        <v>173250.00000000003</v>
      </c>
      <c r="F16" s="242">
        <f>SUM(D13:D16)</f>
        <v>50000</v>
      </c>
      <c r="G16" s="271">
        <f>SUM(E13:E16)</f>
        <v>694750.0000000001</v>
      </c>
      <c r="H16" s="523">
        <v>3456453</v>
      </c>
      <c r="I16" s="524">
        <v>349963</v>
      </c>
      <c r="J16" s="525">
        <f>H16+'spł poż'!F16</f>
        <v>3506453</v>
      </c>
      <c r="K16" s="525">
        <f>I16+G16+'spł poż'!G16</f>
        <v>1211401</v>
      </c>
    </row>
    <row r="17" spans="1:11" ht="12.75">
      <c r="A17" s="516" t="s">
        <v>20</v>
      </c>
      <c r="B17" s="517">
        <v>90</v>
      </c>
      <c r="C17" s="231">
        <f t="shared" si="0"/>
        <v>9900000</v>
      </c>
      <c r="D17" s="231">
        <f>D16</f>
        <v>0</v>
      </c>
      <c r="E17" s="232">
        <f t="shared" si="1"/>
        <v>173250.00000000003</v>
      </c>
      <c r="F17" s="232"/>
      <c r="G17" s="269"/>
      <c r="H17" s="513"/>
      <c r="I17" s="514"/>
      <c r="J17" s="526">
        <f>H17+F17+'spł poż'!F17</f>
        <v>0</v>
      </c>
      <c r="K17" s="526">
        <f>I17+G17+'spł poż'!G17</f>
        <v>0</v>
      </c>
    </row>
    <row r="18" spans="1:11" ht="12.75">
      <c r="A18" s="518" t="s">
        <v>21</v>
      </c>
      <c r="B18" s="519">
        <v>90</v>
      </c>
      <c r="C18" s="236">
        <f t="shared" si="0"/>
        <v>9900000</v>
      </c>
      <c r="D18" s="236">
        <v>50000</v>
      </c>
      <c r="E18" s="237">
        <f t="shared" si="1"/>
        <v>173250.00000000003</v>
      </c>
      <c r="F18" s="237"/>
      <c r="G18" s="270"/>
      <c r="H18" s="513"/>
      <c r="I18" s="514"/>
      <c r="J18" s="527">
        <f>H18+F18+'spł poż'!F18</f>
        <v>0</v>
      </c>
      <c r="K18" s="527">
        <f>I18+G18+'spł poż'!G18</f>
        <v>0</v>
      </c>
    </row>
    <row r="19" spans="1:36" s="17" customFormat="1" ht="12.75">
      <c r="A19" s="528" t="s">
        <v>22</v>
      </c>
      <c r="B19" s="529">
        <v>90</v>
      </c>
      <c r="C19" s="236">
        <f t="shared" si="0"/>
        <v>9850000</v>
      </c>
      <c r="D19" s="236"/>
      <c r="E19" s="237">
        <f t="shared" si="1"/>
        <v>172375.00000000003</v>
      </c>
      <c r="F19" s="245"/>
      <c r="G19" s="272"/>
      <c r="H19" s="513"/>
      <c r="I19" s="514"/>
      <c r="J19" s="527">
        <f>H19+F19+'spł poż'!F19</f>
        <v>0</v>
      </c>
      <c r="K19" s="52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530" t="s">
        <v>23</v>
      </c>
      <c r="B20" s="531">
        <v>90</v>
      </c>
      <c r="C20" s="252">
        <f t="shared" si="0"/>
        <v>9850000</v>
      </c>
      <c r="D20" s="265"/>
      <c r="E20" s="253">
        <f t="shared" si="1"/>
        <v>172375.00000000003</v>
      </c>
      <c r="F20" s="254">
        <f>SUM(D17:D20)</f>
        <v>50000</v>
      </c>
      <c r="G20" s="275">
        <f>SUM(E17:E20)</f>
        <v>691250.0000000001</v>
      </c>
      <c r="H20" s="523">
        <v>2500000</v>
      </c>
      <c r="I20" s="524">
        <v>258568</v>
      </c>
      <c r="J20" s="532">
        <f>H20+'spł poż'!F20</f>
        <v>2550000</v>
      </c>
      <c r="K20" s="53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516" t="s">
        <v>24</v>
      </c>
      <c r="B21" s="517">
        <v>90</v>
      </c>
      <c r="C21" s="231">
        <f t="shared" si="0"/>
        <v>9850000</v>
      </c>
      <c r="D21" s="261"/>
      <c r="E21" s="232">
        <f t="shared" si="1"/>
        <v>172375.00000000003</v>
      </c>
      <c r="F21" s="232"/>
      <c r="G21" s="269"/>
      <c r="H21" s="513"/>
      <c r="I21" s="514"/>
      <c r="J21" s="526">
        <f>H21+F21+'spł poż'!F21</f>
        <v>0</v>
      </c>
      <c r="K21" s="526">
        <f>I21+G21+'spł poż'!G21</f>
        <v>0</v>
      </c>
    </row>
    <row r="22" spans="1:11" ht="12.75">
      <c r="A22" s="518" t="s">
        <v>25</v>
      </c>
      <c r="B22" s="519">
        <v>90</v>
      </c>
      <c r="C22" s="236">
        <f t="shared" si="0"/>
        <v>9850000</v>
      </c>
      <c r="D22" s="262">
        <v>50000</v>
      </c>
      <c r="E22" s="237">
        <f t="shared" si="1"/>
        <v>172375.00000000003</v>
      </c>
      <c r="F22" s="237"/>
      <c r="G22" s="270"/>
      <c r="H22" s="513"/>
      <c r="I22" s="514"/>
      <c r="J22" s="527">
        <f>H22+F22+'spł poż'!F22</f>
        <v>0</v>
      </c>
      <c r="K22" s="527">
        <f>I22+G22+'spł poż'!G22</f>
        <v>0</v>
      </c>
    </row>
    <row r="23" spans="1:11" ht="12.75">
      <c r="A23" s="518" t="s">
        <v>26</v>
      </c>
      <c r="B23" s="519">
        <v>90</v>
      </c>
      <c r="C23" s="236">
        <f t="shared" si="0"/>
        <v>9800000</v>
      </c>
      <c r="D23" s="236"/>
      <c r="E23" s="237">
        <f t="shared" si="1"/>
        <v>171500.00000000003</v>
      </c>
      <c r="F23" s="237"/>
      <c r="G23" s="270"/>
      <c r="H23" s="513"/>
      <c r="I23" s="514"/>
      <c r="J23" s="527">
        <f>H23+F23+'spł poż'!F23</f>
        <v>0</v>
      </c>
      <c r="K23" s="527">
        <f>I23+G23+'spł poż'!G23</f>
        <v>0</v>
      </c>
    </row>
    <row r="24" spans="1:11" ht="13.5" thickBot="1">
      <c r="A24" s="521" t="s">
        <v>27</v>
      </c>
      <c r="B24" s="522">
        <v>90</v>
      </c>
      <c r="C24" s="241">
        <f t="shared" si="0"/>
        <v>9800000</v>
      </c>
      <c r="D24" s="241"/>
      <c r="E24" s="242">
        <f t="shared" si="1"/>
        <v>171500.00000000003</v>
      </c>
      <c r="F24" s="242">
        <f>SUM(D21:D24)</f>
        <v>50000</v>
      </c>
      <c r="G24" s="271">
        <f>SUM(E21:E24)</f>
        <v>687750.0000000001</v>
      </c>
      <c r="H24" s="523">
        <v>2500000</v>
      </c>
      <c r="I24" s="524">
        <v>171068</v>
      </c>
      <c r="J24" s="285">
        <f>H24+'spł poż'!F24</f>
        <v>2550000</v>
      </c>
      <c r="K24" s="525">
        <f>I24+G24+'spł poż'!G24</f>
        <v>1018506.0000000001</v>
      </c>
    </row>
    <row r="25" spans="1:36" s="17" customFormat="1" ht="12.75">
      <c r="A25" s="533" t="s">
        <v>28</v>
      </c>
      <c r="B25" s="534">
        <v>90</v>
      </c>
      <c r="C25" s="231">
        <f t="shared" si="0"/>
        <v>9800000</v>
      </c>
      <c r="D25" s="261"/>
      <c r="E25" s="232">
        <f t="shared" si="1"/>
        <v>171500.00000000003</v>
      </c>
      <c r="F25" s="258"/>
      <c r="G25" s="274"/>
      <c r="H25" s="513"/>
      <c r="I25" s="514"/>
      <c r="J25" s="526">
        <f>H25+F25+'spł poż'!F25</f>
        <v>0</v>
      </c>
      <c r="K25" s="52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528" t="s">
        <v>29</v>
      </c>
      <c r="B26" s="529">
        <v>90</v>
      </c>
      <c r="C26" s="236">
        <f t="shared" si="0"/>
        <v>9800000</v>
      </c>
      <c r="D26" s="262">
        <v>100000</v>
      </c>
      <c r="E26" s="237">
        <f t="shared" si="1"/>
        <v>171500.00000000003</v>
      </c>
      <c r="F26" s="245"/>
      <c r="G26" s="272"/>
      <c r="H26" s="513"/>
      <c r="I26" s="514"/>
      <c r="J26" s="527">
        <f>H26+F26+'spł poż'!F26</f>
        <v>0</v>
      </c>
      <c r="K26" s="52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528" t="s">
        <v>30</v>
      </c>
      <c r="B27" s="529">
        <v>90</v>
      </c>
      <c r="C27" s="236">
        <f t="shared" si="0"/>
        <v>9700000</v>
      </c>
      <c r="D27" s="262"/>
      <c r="E27" s="237">
        <f t="shared" si="1"/>
        <v>169750.00000000003</v>
      </c>
      <c r="F27" s="245"/>
      <c r="G27" s="272"/>
      <c r="H27" s="513"/>
      <c r="I27" s="514"/>
      <c r="J27" s="527">
        <f>H27+F27+'spł poż'!F27</f>
        <v>0</v>
      </c>
      <c r="K27" s="52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535" t="s">
        <v>31</v>
      </c>
      <c r="B28" s="536">
        <v>90</v>
      </c>
      <c r="C28" s="241">
        <f t="shared" si="0"/>
        <v>9700000</v>
      </c>
      <c r="D28" s="263"/>
      <c r="E28" s="242">
        <f t="shared" si="1"/>
        <v>169750.00000000003</v>
      </c>
      <c r="F28" s="248">
        <f>SUM(D25:D28)</f>
        <v>100000</v>
      </c>
      <c r="G28" s="273">
        <f>SUM(E25:E28)</f>
        <v>682500.0000000001</v>
      </c>
      <c r="H28" s="523">
        <v>2376170</v>
      </c>
      <c r="I28" s="524">
        <v>83568</v>
      </c>
      <c r="J28" s="525">
        <f>H28+'spł poż'!F28</f>
        <v>2401170</v>
      </c>
      <c r="K28" s="52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516" t="s">
        <v>32</v>
      </c>
      <c r="B29" s="517">
        <v>90</v>
      </c>
      <c r="C29" s="231">
        <f t="shared" si="0"/>
        <v>9700000</v>
      </c>
      <c r="D29" s="231"/>
      <c r="E29" s="232">
        <f t="shared" si="1"/>
        <v>169750.00000000003</v>
      </c>
      <c r="F29" s="232"/>
      <c r="G29" s="269"/>
      <c r="H29" s="513"/>
      <c r="I29" s="514"/>
      <c r="J29" s="526">
        <f>H29+F29+'spł poż'!F29</f>
        <v>0</v>
      </c>
      <c r="K29" s="526">
        <f>I29+G29+'spł poż'!G29</f>
        <v>0</v>
      </c>
    </row>
    <row r="30" spans="1:11" ht="12.75">
      <c r="A30" s="518" t="s">
        <v>33</v>
      </c>
      <c r="B30" s="519">
        <v>90</v>
      </c>
      <c r="C30" s="236">
        <f t="shared" si="0"/>
        <v>9700000</v>
      </c>
      <c r="D30" s="262">
        <v>1000000</v>
      </c>
      <c r="E30" s="237">
        <f t="shared" si="1"/>
        <v>169750.00000000003</v>
      </c>
      <c r="F30" s="237"/>
      <c r="G30" s="270"/>
      <c r="H30" s="513"/>
      <c r="I30" s="514"/>
      <c r="J30" s="527">
        <f>H30+F30+'spł poż'!F30</f>
        <v>0</v>
      </c>
      <c r="K30" s="527">
        <f>I30+G30+'spł poż'!G30</f>
        <v>0</v>
      </c>
    </row>
    <row r="31" spans="1:11" ht="12.75">
      <c r="A31" s="518" t="s">
        <v>34</v>
      </c>
      <c r="B31" s="519">
        <v>90</v>
      </c>
      <c r="C31" s="236">
        <f t="shared" si="0"/>
        <v>8700000</v>
      </c>
      <c r="D31" s="262"/>
      <c r="E31" s="237">
        <f t="shared" si="1"/>
        <v>152250.00000000003</v>
      </c>
      <c r="F31" s="237"/>
      <c r="G31" s="270"/>
      <c r="H31" s="513"/>
      <c r="I31" s="514"/>
      <c r="J31" s="527">
        <f>H31+F31+'spł poż'!F31</f>
        <v>0</v>
      </c>
      <c r="K31" s="527">
        <f>I31+G31+'spł poż'!G31</f>
        <v>0</v>
      </c>
    </row>
    <row r="32" spans="1:11" ht="13.5" thickBot="1">
      <c r="A32" s="537" t="s">
        <v>35</v>
      </c>
      <c r="B32" s="538">
        <v>90</v>
      </c>
      <c r="C32" s="252">
        <f t="shared" si="0"/>
        <v>8700000</v>
      </c>
      <c r="D32" s="265"/>
      <c r="E32" s="253">
        <f t="shared" si="1"/>
        <v>152250.00000000003</v>
      </c>
      <c r="F32" s="253">
        <f>SUM(D29:D32)</f>
        <v>1000000</v>
      </c>
      <c r="G32" s="539">
        <f>SUM(E29:E32)</f>
        <v>644000.0000000001</v>
      </c>
      <c r="H32" s="523">
        <v>11500</v>
      </c>
      <c r="I32" s="514">
        <v>403</v>
      </c>
      <c r="J32" s="532">
        <f>H32+'spł poż'!F32</f>
        <v>62028</v>
      </c>
      <c r="K32" s="532">
        <f>I32+G32+'spł poż'!G32</f>
        <v>770831.2600000001</v>
      </c>
    </row>
    <row r="33" spans="1:36" s="17" customFormat="1" ht="12.75">
      <c r="A33" s="533" t="s">
        <v>36</v>
      </c>
      <c r="B33" s="534">
        <v>90</v>
      </c>
      <c r="C33" s="231">
        <f t="shared" si="0"/>
        <v>8700000</v>
      </c>
      <c r="D33" s="261"/>
      <c r="E33" s="232">
        <f t="shared" si="1"/>
        <v>152250.00000000003</v>
      </c>
      <c r="F33" s="258"/>
      <c r="G33" s="274"/>
      <c r="H33" s="513"/>
      <c r="I33" s="514"/>
      <c r="J33" s="526">
        <f>H33+F33+'spł poż'!F33</f>
        <v>0</v>
      </c>
      <c r="K33" s="52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528" t="s">
        <v>37</v>
      </c>
      <c r="B34" s="529">
        <v>90</v>
      </c>
      <c r="C34" s="236">
        <f t="shared" si="0"/>
        <v>8700000</v>
      </c>
      <c r="D34" s="262">
        <v>500000</v>
      </c>
      <c r="E34" s="237">
        <f t="shared" si="1"/>
        <v>152250.00000000003</v>
      </c>
      <c r="F34" s="245"/>
      <c r="G34" s="272"/>
      <c r="H34" s="513"/>
      <c r="I34" s="514"/>
      <c r="J34" s="527">
        <f>H34+F34+'spł poż'!F34</f>
        <v>0</v>
      </c>
      <c r="K34" s="52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528" t="s">
        <v>38</v>
      </c>
      <c r="B35" s="529">
        <v>90</v>
      </c>
      <c r="C35" s="236">
        <f t="shared" si="0"/>
        <v>8200000</v>
      </c>
      <c r="D35" s="262"/>
      <c r="E35" s="237">
        <f t="shared" si="1"/>
        <v>143500.00000000003</v>
      </c>
      <c r="F35" s="245"/>
      <c r="G35" s="272"/>
      <c r="H35" s="513"/>
      <c r="I35" s="514"/>
      <c r="J35" s="527">
        <f>H35+F35+'spł poż'!F35</f>
        <v>0</v>
      </c>
      <c r="K35" s="52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535" t="s">
        <v>39</v>
      </c>
      <c r="B36" s="536">
        <v>90</v>
      </c>
      <c r="C36" s="241">
        <f t="shared" si="0"/>
        <v>8200000</v>
      </c>
      <c r="D36" s="263"/>
      <c r="E36" s="242">
        <f t="shared" si="1"/>
        <v>143500.00000000003</v>
      </c>
      <c r="F36" s="248">
        <f>SUM(D33:D36)</f>
        <v>500000</v>
      </c>
      <c r="G36" s="273">
        <f>SUM(E33:E36)</f>
        <v>591500.0000000001</v>
      </c>
      <c r="H36" s="513"/>
      <c r="I36" s="514"/>
      <c r="J36" s="525">
        <f>H36+'spł poż'!F36</f>
        <v>750523</v>
      </c>
      <c r="K36" s="52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516" t="s">
        <v>40</v>
      </c>
      <c r="B37" s="517">
        <v>90</v>
      </c>
      <c r="C37" s="231">
        <f t="shared" si="0"/>
        <v>8200000</v>
      </c>
      <c r="D37" s="231">
        <f>D36</f>
        <v>0</v>
      </c>
      <c r="E37" s="232">
        <f t="shared" si="1"/>
        <v>143500.00000000003</v>
      </c>
      <c r="F37" s="232"/>
      <c r="G37" s="269"/>
      <c r="H37" s="513"/>
      <c r="I37" s="514"/>
      <c r="J37" s="526">
        <f>H37+F37+'spł poż'!F37</f>
        <v>0</v>
      </c>
      <c r="K37" s="526">
        <f>I37+G37+'spł poż'!G37</f>
        <v>0</v>
      </c>
    </row>
    <row r="38" spans="1:11" ht="12.75">
      <c r="A38" s="518" t="s">
        <v>41</v>
      </c>
      <c r="B38" s="519">
        <v>90</v>
      </c>
      <c r="C38" s="236">
        <f t="shared" si="0"/>
        <v>8200000</v>
      </c>
      <c r="D38" s="236">
        <v>500000</v>
      </c>
      <c r="E38" s="237">
        <f t="shared" si="1"/>
        <v>143500.00000000003</v>
      </c>
      <c r="F38" s="237"/>
      <c r="G38" s="270"/>
      <c r="H38" s="513"/>
      <c r="I38" s="514"/>
      <c r="J38" s="527">
        <f>H38+F38+'spł poż'!F38</f>
        <v>0</v>
      </c>
      <c r="K38" s="527">
        <f>I38+G38+'spł poż'!G38</f>
        <v>0</v>
      </c>
    </row>
    <row r="39" spans="1:11" ht="12.75">
      <c r="A39" s="518" t="s">
        <v>42</v>
      </c>
      <c r="B39" s="519">
        <v>90</v>
      </c>
      <c r="C39" s="236">
        <f t="shared" si="0"/>
        <v>7700000</v>
      </c>
      <c r="D39" s="236"/>
      <c r="E39" s="237">
        <f t="shared" si="1"/>
        <v>134750.00000000003</v>
      </c>
      <c r="F39" s="237"/>
      <c r="G39" s="270"/>
      <c r="H39" s="513"/>
      <c r="I39" s="514"/>
      <c r="J39" s="527">
        <f>H39+F39+'spł poż'!F39</f>
        <v>0</v>
      </c>
      <c r="K39" s="527">
        <f>I39+G39+'spł poż'!G39</f>
        <v>0</v>
      </c>
    </row>
    <row r="40" spans="1:11" ht="13.5" thickBot="1">
      <c r="A40" s="521" t="s">
        <v>43</v>
      </c>
      <c r="B40" s="522">
        <v>90</v>
      </c>
      <c r="C40" s="241">
        <f t="shared" si="0"/>
        <v>7700000</v>
      </c>
      <c r="D40" s="241"/>
      <c r="E40" s="242">
        <f t="shared" si="1"/>
        <v>134750.00000000003</v>
      </c>
      <c r="F40" s="242">
        <f>SUM(D37:D40)</f>
        <v>500000</v>
      </c>
      <c r="G40" s="271">
        <f>SUM(E37:E40)</f>
        <v>556500.0000000001</v>
      </c>
      <c r="H40" s="513"/>
      <c r="I40" s="514"/>
      <c r="J40" s="525">
        <f>'spł poż'!F40</f>
        <v>600000</v>
      </c>
      <c r="K40" s="525">
        <f>I40+G40+'spł poż'!G40</f>
        <v>612426.4300000002</v>
      </c>
    </row>
    <row r="41" spans="1:11" ht="12.75">
      <c r="A41" s="516" t="s">
        <v>44</v>
      </c>
      <c r="B41" s="517">
        <v>90</v>
      </c>
      <c r="C41" s="231">
        <f t="shared" si="0"/>
        <v>7700000</v>
      </c>
      <c r="D41" s="231"/>
      <c r="E41" s="232">
        <f aca="true" t="shared" si="2" ref="E41:E48">B41*C41*0.07/360</f>
        <v>134750.00000000003</v>
      </c>
      <c r="F41" s="232"/>
      <c r="G41" s="269"/>
      <c r="H41" s="513"/>
      <c r="I41" s="514"/>
      <c r="J41" s="526">
        <f>H41+F41+'spł poż'!F41</f>
        <v>0</v>
      </c>
      <c r="K41" s="526">
        <f>I41+G41+'spł poż'!G41</f>
        <v>0</v>
      </c>
    </row>
    <row r="42" spans="1:11" ht="12.75">
      <c r="A42" s="518" t="s">
        <v>45</v>
      </c>
      <c r="B42" s="519">
        <v>90</v>
      </c>
      <c r="C42" s="236">
        <f t="shared" si="0"/>
        <v>7700000</v>
      </c>
      <c r="D42" s="236">
        <v>600000</v>
      </c>
      <c r="E42" s="237">
        <f t="shared" si="2"/>
        <v>134750.00000000003</v>
      </c>
      <c r="F42" s="237"/>
      <c r="G42" s="270"/>
      <c r="H42" s="513"/>
      <c r="I42" s="514"/>
      <c r="J42" s="527">
        <f>H42+F42+'spł poż'!F42</f>
        <v>0</v>
      </c>
      <c r="K42" s="527">
        <f>I42+G42+'spł poż'!G42</f>
        <v>0</v>
      </c>
    </row>
    <row r="43" spans="1:11" ht="12.75">
      <c r="A43" s="518" t="s">
        <v>46</v>
      </c>
      <c r="B43" s="519">
        <v>90</v>
      </c>
      <c r="C43" s="236">
        <f t="shared" si="0"/>
        <v>7100000</v>
      </c>
      <c r="D43" s="236">
        <v>600000</v>
      </c>
      <c r="E43" s="237">
        <f t="shared" si="2"/>
        <v>124250.00000000001</v>
      </c>
      <c r="F43" s="237"/>
      <c r="G43" s="270"/>
      <c r="H43" s="513"/>
      <c r="I43" s="514"/>
      <c r="J43" s="527">
        <f>H43+F43+'spł poż'!F43</f>
        <v>0</v>
      </c>
      <c r="K43" s="527">
        <f>I43+G43+'spł poż'!G43</f>
        <v>0</v>
      </c>
    </row>
    <row r="44" spans="1:11" ht="13.5" thickBot="1">
      <c r="A44" s="521" t="s">
        <v>47</v>
      </c>
      <c r="B44" s="522">
        <v>90</v>
      </c>
      <c r="C44" s="241">
        <f>C43-D43</f>
        <v>6500000</v>
      </c>
      <c r="D44" s="241"/>
      <c r="E44" s="242">
        <f t="shared" si="2"/>
        <v>113750.00000000001</v>
      </c>
      <c r="F44" s="242">
        <f>SUM(D41:D44)</f>
        <v>1200000</v>
      </c>
      <c r="G44" s="271">
        <f>SUM(E41:E44)</f>
        <v>507500.00000000006</v>
      </c>
      <c r="H44" s="540"/>
      <c r="I44" s="541"/>
      <c r="J44" s="525">
        <f>H44+'spł poż'!F44</f>
        <v>423949</v>
      </c>
      <c r="K44" s="525">
        <f>I44+G44+'spł poż'!G44</f>
        <v>526257.3225</v>
      </c>
    </row>
    <row r="45" spans="1:11" ht="12.75">
      <c r="A45" s="516" t="s">
        <v>400</v>
      </c>
      <c r="B45" s="517">
        <v>90</v>
      </c>
      <c r="C45" s="231">
        <f>C44-D44</f>
        <v>6500000</v>
      </c>
      <c r="D45" s="231">
        <v>3500000</v>
      </c>
      <c r="E45" s="232">
        <f t="shared" si="2"/>
        <v>113750.00000000001</v>
      </c>
      <c r="F45" s="232"/>
      <c r="G45" s="269"/>
      <c r="H45" s="513"/>
      <c r="I45" s="514"/>
      <c r="J45" s="526"/>
      <c r="K45" s="526">
        <f>I45+G45+'spł poż'!G45</f>
        <v>0</v>
      </c>
    </row>
    <row r="46" spans="1:11" ht="12.75">
      <c r="A46" s="518" t="s">
        <v>401</v>
      </c>
      <c r="B46" s="519">
        <v>90</v>
      </c>
      <c r="C46" s="236">
        <f>C45-D45</f>
        <v>3000000</v>
      </c>
      <c r="D46" s="236"/>
      <c r="E46" s="237">
        <f t="shared" si="2"/>
        <v>52500</v>
      </c>
      <c r="F46" s="237"/>
      <c r="G46" s="270"/>
      <c r="H46" s="513"/>
      <c r="I46" s="514"/>
      <c r="J46" s="527">
        <f>H46+F46+'spł poż'!F46</f>
        <v>0</v>
      </c>
      <c r="K46" s="527">
        <f>I46+G46+'spł poż'!G46</f>
        <v>0</v>
      </c>
    </row>
    <row r="47" spans="1:11" ht="12.75">
      <c r="A47" s="518" t="s">
        <v>402</v>
      </c>
      <c r="B47" s="519">
        <v>90</v>
      </c>
      <c r="C47" s="236">
        <f>C46-D46</f>
        <v>3000000</v>
      </c>
      <c r="D47" s="236">
        <v>3000000</v>
      </c>
      <c r="E47" s="237">
        <f t="shared" si="2"/>
        <v>52500</v>
      </c>
      <c r="F47" s="237"/>
      <c r="G47" s="270"/>
      <c r="H47" s="513"/>
      <c r="I47" s="514"/>
      <c r="J47" s="527">
        <f>H47+F47+'spł poż'!F47</f>
        <v>0</v>
      </c>
      <c r="K47" s="527">
        <f>I47+G47+'spł poż'!G47</f>
        <v>0</v>
      </c>
    </row>
    <row r="48" spans="1:11" ht="13.5" thickBot="1">
      <c r="A48" s="521" t="s">
        <v>403</v>
      </c>
      <c r="B48" s="522">
        <v>90</v>
      </c>
      <c r="C48" s="241">
        <f>C47-D47</f>
        <v>0</v>
      </c>
      <c r="D48" s="241"/>
      <c r="E48" s="242">
        <f t="shared" si="2"/>
        <v>0</v>
      </c>
      <c r="F48" s="242">
        <f>SUM(D45:D48)</f>
        <v>6500000</v>
      </c>
      <c r="G48" s="271">
        <f>SUM(E45:E48)</f>
        <v>218750</v>
      </c>
      <c r="H48" s="540"/>
      <c r="I48" s="541"/>
      <c r="J48" s="525"/>
      <c r="K48" s="525">
        <f>I48+G48+'spł poż'!G48</f>
        <v>218750</v>
      </c>
    </row>
    <row r="49" spans="1:11" ht="12.75">
      <c r="A49" s="542"/>
      <c r="B49" s="543"/>
      <c r="C49" s="542"/>
      <c r="D49" s="544">
        <f>SUM(D9:D48)</f>
        <v>10000000</v>
      </c>
      <c r="F49" s="544">
        <f>SUM(F9:F48)</f>
        <v>10000000</v>
      </c>
      <c r="G49" s="544">
        <f>SUM(G9:G48)</f>
        <v>5972750.000000001</v>
      </c>
      <c r="H49" s="545"/>
      <c r="I49" s="545"/>
      <c r="J49" s="544">
        <f>SUM(J9:J48)</f>
        <v>16511022</v>
      </c>
      <c r="K49" s="546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75" zoomScaleNormal="90" zoomScaleSheetLayoutView="75" zoomScalePageLayoutView="0" workbookViewId="0" topLeftCell="A26">
      <selection activeCell="G18" sqref="G18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3.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4.2812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2" t="s">
        <v>48</v>
      </c>
      <c r="N1" s="52"/>
      <c r="O1" s="53"/>
      <c r="P1" s="53"/>
      <c r="Q1" s="53"/>
    </row>
    <row r="2" spans="1:17" ht="3.75" customHeight="1">
      <c r="A2" s="54"/>
      <c r="B2" s="54"/>
      <c r="C2" s="55"/>
      <c r="D2" s="55"/>
      <c r="E2" s="55"/>
      <c r="F2" s="55"/>
      <c r="G2" s="55"/>
      <c r="H2" s="55"/>
      <c r="I2" s="55"/>
      <c r="J2" s="55"/>
      <c r="K2" s="56"/>
      <c r="L2" s="55"/>
      <c r="M2" s="57"/>
      <c r="N2" s="58"/>
      <c r="O2" s="55"/>
      <c r="P2" s="55"/>
      <c r="Q2" s="55"/>
    </row>
    <row r="3" spans="1:17" ht="18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1"/>
      <c r="L3" s="60"/>
      <c r="M3" s="62" t="s">
        <v>410</v>
      </c>
      <c r="N3" s="58"/>
      <c r="O3" s="60"/>
      <c r="P3" s="60"/>
      <c r="Q3" s="60"/>
    </row>
    <row r="4" spans="1:17" ht="16.5" customHeight="1">
      <c r="A4" s="59"/>
      <c r="B4" s="59"/>
      <c r="C4" s="60"/>
      <c r="D4" s="60"/>
      <c r="E4" s="60"/>
      <c r="F4" s="60"/>
      <c r="G4" s="60"/>
      <c r="H4" s="60"/>
      <c r="I4" s="60"/>
      <c r="J4" s="60"/>
      <c r="K4" s="61"/>
      <c r="L4" s="60"/>
      <c r="M4" s="62" t="s">
        <v>49</v>
      </c>
      <c r="N4" s="58"/>
      <c r="O4" s="60"/>
      <c r="P4" s="60"/>
      <c r="Q4" s="60"/>
    </row>
    <row r="5" spans="1:17" ht="17.25" customHeight="1">
      <c r="A5" s="59"/>
      <c r="B5" s="59"/>
      <c r="C5" s="60"/>
      <c r="D5" s="60"/>
      <c r="E5" s="60"/>
      <c r="F5" s="60"/>
      <c r="G5" s="60"/>
      <c r="H5" s="60"/>
      <c r="I5" s="60"/>
      <c r="J5" s="60"/>
      <c r="K5" s="61"/>
      <c r="L5" s="60"/>
      <c r="M5" s="62" t="s">
        <v>409</v>
      </c>
      <c r="N5" s="58"/>
      <c r="O5" s="60"/>
      <c r="P5" s="60"/>
      <c r="Q5" s="60"/>
    </row>
    <row r="6" spans="1:17" ht="19.5" customHeight="1" thickBot="1">
      <c r="A6" s="578" t="s">
        <v>407</v>
      </c>
      <c r="B6" s="578"/>
      <c r="C6" s="578" t="s">
        <v>50</v>
      </c>
      <c r="D6" s="578" t="s">
        <v>51</v>
      </c>
      <c r="E6" s="578" t="s">
        <v>52</v>
      </c>
      <c r="F6" s="578" t="s">
        <v>53</v>
      </c>
      <c r="G6" s="578" t="s">
        <v>54</v>
      </c>
      <c r="H6" s="578" t="s">
        <v>55</v>
      </c>
      <c r="I6" s="578" t="s">
        <v>56</v>
      </c>
      <c r="J6" s="578" t="s">
        <v>57</v>
      </c>
      <c r="K6" s="578" t="s">
        <v>58</v>
      </c>
      <c r="L6" s="578" t="s">
        <v>59</v>
      </c>
      <c r="M6" s="578" t="s">
        <v>60</v>
      </c>
      <c r="N6" s="63"/>
      <c r="O6" s="63"/>
      <c r="P6" s="495"/>
      <c r="Q6" s="64"/>
    </row>
    <row r="7" spans="1:17" ht="19.5" customHeight="1" thickBo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63"/>
      <c r="O7" s="63"/>
      <c r="P7" s="495"/>
      <c r="Q7" s="64"/>
    </row>
    <row r="8" spans="1:17" ht="19.5" customHeight="1" thickBot="1">
      <c r="A8" s="578"/>
      <c r="B8" s="578"/>
      <c r="C8" s="578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63"/>
      <c r="O8" s="63"/>
      <c r="P8" s="495"/>
      <c r="Q8" s="64"/>
    </row>
    <row r="9" spans="1:17" ht="16.5" customHeight="1" thickBot="1">
      <c r="A9" s="636" t="s">
        <v>61</v>
      </c>
      <c r="B9" s="629" t="s">
        <v>62</v>
      </c>
      <c r="C9" s="630"/>
      <c r="D9" s="584" t="s">
        <v>396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4"/>
    </row>
    <row r="10" spans="1:17" ht="16.5" customHeight="1" thickBot="1">
      <c r="A10" s="637"/>
      <c r="B10" s="631"/>
      <c r="C10" s="632"/>
      <c r="D10" s="584" t="s">
        <v>63</v>
      </c>
      <c r="E10" s="585"/>
      <c r="F10" s="586"/>
      <c r="G10" s="605" t="s">
        <v>64</v>
      </c>
      <c r="H10" s="606"/>
      <c r="I10" s="606"/>
      <c r="J10" s="606"/>
      <c r="K10" s="606"/>
      <c r="L10" s="606"/>
      <c r="M10" s="606"/>
      <c r="N10" s="606"/>
      <c r="O10" s="606"/>
      <c r="P10" s="606"/>
      <c r="Q10" s="607"/>
    </row>
    <row r="11" spans="1:17" ht="18" customHeight="1">
      <c r="A11" s="637"/>
      <c r="B11" s="631"/>
      <c r="C11" s="633"/>
      <c r="D11" s="642">
        <v>2009</v>
      </c>
      <c r="E11" s="639">
        <v>2010</v>
      </c>
      <c r="F11" s="641" t="s">
        <v>286</v>
      </c>
      <c r="G11" s="645">
        <v>2012</v>
      </c>
      <c r="H11" s="644">
        <v>2013</v>
      </c>
      <c r="I11" s="587">
        <v>2014</v>
      </c>
      <c r="J11" s="587">
        <v>2015</v>
      </c>
      <c r="K11" s="587">
        <v>2016</v>
      </c>
      <c r="L11" s="587">
        <v>2017</v>
      </c>
      <c r="M11" s="587">
        <v>2018</v>
      </c>
      <c r="N11" s="587">
        <v>2019</v>
      </c>
      <c r="O11" s="587">
        <v>2020</v>
      </c>
      <c r="P11" s="587">
        <v>2021</v>
      </c>
      <c r="Q11" s="587">
        <v>2022</v>
      </c>
    </row>
    <row r="12" spans="1:17" ht="14.25" customHeight="1" thickBot="1">
      <c r="A12" s="638"/>
      <c r="B12" s="634"/>
      <c r="C12" s="635"/>
      <c r="D12" s="643"/>
      <c r="E12" s="640"/>
      <c r="F12" s="594"/>
      <c r="G12" s="595"/>
      <c r="H12" s="615"/>
      <c r="I12" s="588"/>
      <c r="J12" s="588"/>
      <c r="K12" s="588"/>
      <c r="L12" s="588"/>
      <c r="M12" s="588"/>
      <c r="N12" s="588"/>
      <c r="O12" s="588"/>
      <c r="P12" s="588"/>
      <c r="Q12" s="588"/>
    </row>
    <row r="13" spans="1:17" s="25" customFormat="1" ht="19.5" customHeight="1">
      <c r="A13" s="75">
        <v>1</v>
      </c>
      <c r="B13" s="582" t="s">
        <v>65</v>
      </c>
      <c r="C13" s="583"/>
      <c r="D13" s="81">
        <f>D14+D15</f>
        <v>81699693</v>
      </c>
      <c r="E13" s="86">
        <f>E14+E15</f>
        <v>85095905</v>
      </c>
      <c r="F13" s="369">
        <f>F14+F15</f>
        <v>114278216</v>
      </c>
      <c r="G13" s="385">
        <f>G14+G15</f>
        <v>163673950</v>
      </c>
      <c r="H13" s="379">
        <f aca="true" t="shared" si="0" ref="H13:Q13">H14+H15</f>
        <v>167015829</v>
      </c>
      <c r="I13" s="81">
        <f t="shared" si="0"/>
        <v>118126336</v>
      </c>
      <c r="J13" s="368">
        <f t="shared" si="0"/>
        <v>130175588</v>
      </c>
      <c r="K13" s="81">
        <f t="shared" si="0"/>
        <v>125586180</v>
      </c>
      <c r="L13" s="81">
        <f t="shared" si="0"/>
        <v>129860716</v>
      </c>
      <c r="M13" s="81">
        <f t="shared" si="0"/>
        <v>136174581</v>
      </c>
      <c r="N13" s="81">
        <f t="shared" si="0"/>
        <v>140750256</v>
      </c>
      <c r="O13" s="81">
        <f t="shared" si="0"/>
        <v>144603825</v>
      </c>
      <c r="P13" s="81">
        <f>P14+P15</f>
        <v>146658641</v>
      </c>
      <c r="Q13" s="81">
        <f t="shared" si="0"/>
        <v>148657935</v>
      </c>
    </row>
    <row r="14" spans="1:17" ht="19.5" customHeight="1">
      <c r="A14" s="76" t="s">
        <v>66</v>
      </c>
      <c r="B14" s="591" t="s">
        <v>67</v>
      </c>
      <c r="C14" s="592"/>
      <c r="D14" s="78">
        <v>80665439</v>
      </c>
      <c r="E14" s="88">
        <v>84339995</v>
      </c>
      <c r="F14" s="370">
        <v>98522397</v>
      </c>
      <c r="G14" s="386">
        <v>105387362</v>
      </c>
      <c r="H14" s="394">
        <v>109753328</v>
      </c>
      <c r="I14" s="79">
        <v>118126336</v>
      </c>
      <c r="J14" s="78">
        <v>121175588</v>
      </c>
      <c r="K14" s="78">
        <v>125586180</v>
      </c>
      <c r="L14" s="78">
        <v>129860716</v>
      </c>
      <c r="M14" s="78">
        <v>136174581</v>
      </c>
      <c r="N14" s="78">
        <v>140750256</v>
      </c>
      <c r="O14" s="78">
        <v>144603825</v>
      </c>
      <c r="P14" s="78">
        <v>146658641</v>
      </c>
      <c r="Q14" s="78">
        <v>148657935</v>
      </c>
    </row>
    <row r="15" spans="1:17" ht="19.5" customHeight="1">
      <c r="A15" s="76" t="s">
        <v>68</v>
      </c>
      <c r="B15" s="591" t="s">
        <v>69</v>
      </c>
      <c r="C15" s="592"/>
      <c r="D15" s="78">
        <v>1034254</v>
      </c>
      <c r="E15" s="88">
        <v>755910</v>
      </c>
      <c r="F15" s="370">
        <v>15755819</v>
      </c>
      <c r="G15" s="386">
        <v>58286588</v>
      </c>
      <c r="H15" s="394">
        <v>57262501</v>
      </c>
      <c r="I15" s="79"/>
      <c r="J15" s="78">
        <v>9000000</v>
      </c>
      <c r="K15" s="78">
        <f>K16</f>
        <v>0</v>
      </c>
      <c r="L15" s="78">
        <f>L16</f>
        <v>0</v>
      </c>
      <c r="M15" s="79">
        <v>0</v>
      </c>
      <c r="N15" s="78">
        <f>N16</f>
        <v>0</v>
      </c>
      <c r="O15" s="78"/>
      <c r="P15" s="78"/>
      <c r="Q15" s="78"/>
    </row>
    <row r="16" spans="1:17" ht="20.25" customHeight="1">
      <c r="A16" s="76" t="s">
        <v>70</v>
      </c>
      <c r="B16" s="90" t="s">
        <v>71</v>
      </c>
      <c r="C16" s="364" t="s">
        <v>72</v>
      </c>
      <c r="D16" s="78">
        <v>197354</v>
      </c>
      <c r="E16" s="88">
        <v>255910</v>
      </c>
      <c r="F16" s="370">
        <v>13500000</v>
      </c>
      <c r="G16" s="386">
        <v>52000000</v>
      </c>
      <c r="H16" s="395">
        <v>26150000</v>
      </c>
      <c r="I16" s="79"/>
      <c r="J16" s="79"/>
      <c r="K16" s="79">
        <v>0</v>
      </c>
      <c r="L16" s="79">
        <v>0</v>
      </c>
      <c r="M16" s="79">
        <v>0</v>
      </c>
      <c r="N16" s="79">
        <v>0</v>
      </c>
      <c r="O16" s="79"/>
      <c r="P16" s="79"/>
      <c r="Q16" s="79"/>
    </row>
    <row r="17" spans="1:17" ht="54.75" customHeight="1">
      <c r="A17" s="80">
        <v>2</v>
      </c>
      <c r="B17" s="625" t="s">
        <v>73</v>
      </c>
      <c r="C17" s="626"/>
      <c r="D17" s="81">
        <v>71551205</v>
      </c>
      <c r="E17" s="86">
        <v>76029699</v>
      </c>
      <c r="F17" s="369">
        <v>88000247</v>
      </c>
      <c r="G17" s="385">
        <v>102328260</v>
      </c>
      <c r="H17" s="379">
        <v>82020230</v>
      </c>
      <c r="I17" s="81">
        <v>82730732</v>
      </c>
      <c r="J17" s="81">
        <v>82337332</v>
      </c>
      <c r="K17" s="81">
        <v>97905924</v>
      </c>
      <c r="L17" s="81">
        <v>100364353</v>
      </c>
      <c r="M17" s="81">
        <v>104926222</v>
      </c>
      <c r="N17" s="81">
        <v>105712332</v>
      </c>
      <c r="O17" s="81">
        <v>110641024</v>
      </c>
      <c r="P17" s="81">
        <v>112231685</v>
      </c>
      <c r="Q17" s="81">
        <v>113939185</v>
      </c>
    </row>
    <row r="18" spans="1:17" ht="24.75" customHeight="1">
      <c r="A18" s="76" t="s">
        <v>66</v>
      </c>
      <c r="B18" s="628" t="s">
        <v>71</v>
      </c>
      <c r="C18" s="365" t="s">
        <v>74</v>
      </c>
      <c r="D18" s="78">
        <v>25712119</v>
      </c>
      <c r="E18" s="88">
        <v>28031630</v>
      </c>
      <c r="F18" s="370">
        <v>31812111</v>
      </c>
      <c r="G18" s="386">
        <v>38118939</v>
      </c>
      <c r="H18" s="394">
        <f aca="true" t="shared" si="1" ref="H18:N18">G18*102%</f>
        <v>38881317.78</v>
      </c>
      <c r="I18" s="79">
        <f t="shared" si="1"/>
        <v>39658944.1356</v>
      </c>
      <c r="J18" s="78">
        <f t="shared" si="1"/>
        <v>40452123.018312</v>
      </c>
      <c r="K18" s="78">
        <f t="shared" si="1"/>
        <v>41261165.47867824</v>
      </c>
      <c r="L18" s="78">
        <f t="shared" si="1"/>
        <v>42086388.78825181</v>
      </c>
      <c r="M18" s="78">
        <f t="shared" si="1"/>
        <v>42928116.56401685</v>
      </c>
      <c r="N18" s="78">
        <f t="shared" si="1"/>
        <v>43786678.895297185</v>
      </c>
      <c r="O18" s="78">
        <f>M18*102%</f>
        <v>43786678.895297185</v>
      </c>
      <c r="P18" s="78">
        <f>M18*102%</f>
        <v>43786678.895297185</v>
      </c>
      <c r="Q18" s="78">
        <f>N18*102%</f>
        <v>44662412.47320313</v>
      </c>
    </row>
    <row r="19" spans="1:17" ht="24.75" customHeight="1">
      <c r="A19" s="76" t="s">
        <v>68</v>
      </c>
      <c r="B19" s="628"/>
      <c r="C19" s="365" t="s">
        <v>75</v>
      </c>
      <c r="D19" s="78">
        <v>7561065</v>
      </c>
      <c r="E19" s="88">
        <v>8358243</v>
      </c>
      <c r="F19" s="370">
        <v>9944058</v>
      </c>
      <c r="G19" s="386">
        <v>13447909</v>
      </c>
      <c r="H19" s="394">
        <v>7950000</v>
      </c>
      <c r="I19" s="79">
        <v>7980000</v>
      </c>
      <c r="J19" s="78">
        <v>8010000</v>
      </c>
      <c r="K19" s="78">
        <v>8170200</v>
      </c>
      <c r="L19" s="78">
        <f>K19*102%</f>
        <v>8333604</v>
      </c>
      <c r="M19" s="78">
        <f>L19*102%</f>
        <v>8500276.08</v>
      </c>
      <c r="N19" s="78">
        <f>M19*102%</f>
        <v>8670281.6016</v>
      </c>
      <c r="O19" s="78">
        <f>M19*102%</f>
        <v>8670281.6016</v>
      </c>
      <c r="P19" s="78">
        <f>M19*102%</f>
        <v>8670281.6016</v>
      </c>
      <c r="Q19" s="78">
        <f>N19*102%</f>
        <v>8843687.233632</v>
      </c>
    </row>
    <row r="20" spans="1:17" ht="20.25" customHeight="1">
      <c r="A20" s="76" t="s">
        <v>76</v>
      </c>
      <c r="B20" s="628"/>
      <c r="C20" s="365" t="s">
        <v>77</v>
      </c>
      <c r="D20" s="78">
        <v>0</v>
      </c>
      <c r="E20" s="88">
        <v>0</v>
      </c>
      <c r="F20" s="393">
        <v>0</v>
      </c>
      <c r="G20" s="391"/>
      <c r="H20" s="383">
        <v>0</v>
      </c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35.25" customHeight="1">
      <c r="A21" s="76" t="s">
        <v>70</v>
      </c>
      <c r="B21" s="628"/>
      <c r="C21" s="365" t="s">
        <v>78</v>
      </c>
      <c r="D21" s="77">
        <v>0</v>
      </c>
      <c r="E21" s="88">
        <v>0</v>
      </c>
      <c r="F21" s="393">
        <v>0</v>
      </c>
      <c r="G21" s="391">
        <v>0</v>
      </c>
      <c r="H21" s="383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ht="31.5">
      <c r="A22" s="76" t="s">
        <v>79</v>
      </c>
      <c r="B22" s="628"/>
      <c r="C22" s="365" t="s">
        <v>80</v>
      </c>
      <c r="D22" s="78" t="s">
        <v>81</v>
      </c>
      <c r="E22" s="88" t="s">
        <v>81</v>
      </c>
      <c r="F22" s="370">
        <v>1309987</v>
      </c>
      <c r="G22" s="386">
        <f>'Wykaz przedsięwzięć'!L13</f>
        <v>15464100</v>
      </c>
      <c r="H22" s="395">
        <f>'Wykaz przedsięwzięć'!M96</f>
        <v>9391090</v>
      </c>
      <c r="I22" s="79">
        <f>'Wykaz przedsięwzięć'!N96</f>
        <v>6033714</v>
      </c>
      <c r="J22" s="79">
        <f>'Wykaz przedsięwzięć'!O96</f>
        <v>3761310</v>
      </c>
      <c r="K22" s="79">
        <f>'Wykaz przedsięwzięć'!P96</f>
        <v>3558490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1:17" ht="38.25" customHeight="1">
      <c r="A23" s="83">
        <v>3</v>
      </c>
      <c r="B23" s="589" t="s">
        <v>82</v>
      </c>
      <c r="C23" s="590"/>
      <c r="D23" s="84">
        <f aca="true" t="shared" si="2" ref="D23:Q23">D13-D17</f>
        <v>10148488</v>
      </c>
      <c r="E23" s="86">
        <f>E13-E17</f>
        <v>9066206</v>
      </c>
      <c r="F23" s="369">
        <f t="shared" si="2"/>
        <v>26277969</v>
      </c>
      <c r="G23" s="385">
        <f>G13-G17</f>
        <v>61345690</v>
      </c>
      <c r="H23" s="376">
        <f t="shared" si="2"/>
        <v>84995599</v>
      </c>
      <c r="I23" s="81">
        <f t="shared" si="2"/>
        <v>35395604</v>
      </c>
      <c r="J23" s="84">
        <f>J13-J17</f>
        <v>47838256</v>
      </c>
      <c r="K23" s="84">
        <f t="shared" si="2"/>
        <v>27680256</v>
      </c>
      <c r="L23" s="84">
        <f t="shared" si="2"/>
        <v>29496363</v>
      </c>
      <c r="M23" s="84">
        <f t="shared" si="2"/>
        <v>31248359</v>
      </c>
      <c r="N23" s="84">
        <f t="shared" si="2"/>
        <v>35037924</v>
      </c>
      <c r="O23" s="84">
        <f>O13-O17</f>
        <v>33962801</v>
      </c>
      <c r="P23" s="84">
        <f>P13-P17</f>
        <v>34426956</v>
      </c>
      <c r="Q23" s="84">
        <f t="shared" si="2"/>
        <v>34718750</v>
      </c>
    </row>
    <row r="24" spans="1:17" ht="39.75" customHeight="1">
      <c r="A24" s="83">
        <v>4</v>
      </c>
      <c r="B24" s="589" t="s">
        <v>83</v>
      </c>
      <c r="C24" s="590"/>
      <c r="D24" s="85">
        <v>3719761</v>
      </c>
      <c r="E24" s="86">
        <v>1245475</v>
      </c>
      <c r="F24" s="372">
        <v>427077</v>
      </c>
      <c r="G24" s="388">
        <f>G25</f>
        <v>4004678</v>
      </c>
      <c r="H24" s="378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  <row r="25" spans="1:17" ht="51" customHeight="1">
      <c r="A25" s="76" t="s">
        <v>66</v>
      </c>
      <c r="B25" s="87" t="s">
        <v>71</v>
      </c>
      <c r="C25" s="366" t="s">
        <v>84</v>
      </c>
      <c r="D25" s="77">
        <v>0</v>
      </c>
      <c r="E25" s="88"/>
      <c r="F25" s="393">
        <v>375492</v>
      </c>
      <c r="G25" s="391">
        <v>4004678</v>
      </c>
      <c r="H25" s="396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spans="1:17" ht="33.75" customHeight="1">
      <c r="A26" s="83">
        <v>5</v>
      </c>
      <c r="B26" s="589" t="s">
        <v>85</v>
      </c>
      <c r="C26" s="590"/>
      <c r="D26" s="84">
        <v>0</v>
      </c>
      <c r="E26" s="86">
        <v>0</v>
      </c>
      <c r="F26" s="369">
        <v>0</v>
      </c>
      <c r="G26" s="385">
        <v>0</v>
      </c>
      <c r="H26" s="376">
        <v>0</v>
      </c>
      <c r="I26" s="81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</row>
    <row r="27" spans="1:17" ht="20.25" customHeight="1">
      <c r="A27" s="83">
        <v>6</v>
      </c>
      <c r="B27" s="589" t="s">
        <v>86</v>
      </c>
      <c r="C27" s="590"/>
      <c r="D27" s="84">
        <f aca="true" t="shared" si="3" ref="D27:Q27">D23+D24+D26</f>
        <v>13868249</v>
      </c>
      <c r="E27" s="86">
        <f>E23+E24+E26</f>
        <v>10311681</v>
      </c>
      <c r="F27" s="369">
        <f>F23+F24+F26</f>
        <v>26705046</v>
      </c>
      <c r="G27" s="385">
        <f>G23+G24+G26</f>
        <v>65350368</v>
      </c>
      <c r="H27" s="376">
        <f t="shared" si="3"/>
        <v>84995599</v>
      </c>
      <c r="I27" s="81">
        <f t="shared" si="3"/>
        <v>35395604</v>
      </c>
      <c r="J27" s="84">
        <f>J23+J24+J26</f>
        <v>47838256</v>
      </c>
      <c r="K27" s="84">
        <f t="shared" si="3"/>
        <v>27680256</v>
      </c>
      <c r="L27" s="84">
        <f t="shared" si="3"/>
        <v>29496363</v>
      </c>
      <c r="M27" s="84">
        <f t="shared" si="3"/>
        <v>31248359</v>
      </c>
      <c r="N27" s="84">
        <f t="shared" si="3"/>
        <v>35037924</v>
      </c>
      <c r="O27" s="84">
        <f t="shared" si="3"/>
        <v>33962801</v>
      </c>
      <c r="P27" s="84">
        <f>P23+P24+P26</f>
        <v>34426956</v>
      </c>
      <c r="Q27" s="84">
        <f t="shared" si="3"/>
        <v>34718750</v>
      </c>
    </row>
    <row r="28" spans="1:17" ht="20.25" customHeight="1">
      <c r="A28" s="83">
        <v>7</v>
      </c>
      <c r="B28" s="589" t="s">
        <v>87</v>
      </c>
      <c r="C28" s="590"/>
      <c r="D28" s="85">
        <f aca="true" t="shared" si="4" ref="D28:Q28">D29+D33</f>
        <v>4502192</v>
      </c>
      <c r="E28" s="86">
        <f>E29+E33</f>
        <v>9065858</v>
      </c>
      <c r="F28" s="372">
        <f t="shared" si="4"/>
        <v>6883561</v>
      </c>
      <c r="G28" s="388">
        <f>G29+G33</f>
        <v>9614930</v>
      </c>
      <c r="H28" s="382">
        <f t="shared" si="4"/>
        <v>11185093</v>
      </c>
      <c r="I28" s="86">
        <f t="shared" si="4"/>
        <v>10604604</v>
      </c>
      <c r="J28" s="85">
        <f t="shared" si="4"/>
        <v>9362256</v>
      </c>
      <c r="K28" s="85">
        <f t="shared" si="4"/>
        <v>9180256</v>
      </c>
      <c r="L28" s="85">
        <f t="shared" si="4"/>
        <v>9496363</v>
      </c>
      <c r="M28" s="85">
        <f t="shared" si="4"/>
        <v>8248359.26</v>
      </c>
      <c r="N28" s="85">
        <f t="shared" si="4"/>
        <v>9537923.540000001</v>
      </c>
      <c r="O28" s="85">
        <f t="shared" si="4"/>
        <v>7962801.43</v>
      </c>
      <c r="P28" s="85">
        <f>P29+P33</f>
        <v>6426956.3225</v>
      </c>
      <c r="Q28" s="85">
        <f t="shared" si="4"/>
        <v>6718750</v>
      </c>
    </row>
    <row r="29" spans="1:18" s="19" customFormat="1" ht="36" customHeight="1">
      <c r="A29" s="89" t="s">
        <v>66</v>
      </c>
      <c r="B29" s="621" t="s">
        <v>88</v>
      </c>
      <c r="C29" s="610"/>
      <c r="D29" s="79">
        <v>3463314</v>
      </c>
      <c r="E29" s="88">
        <v>6940085</v>
      </c>
      <c r="F29" s="370">
        <v>4551585</v>
      </c>
      <c r="G29" s="386">
        <f>SUM(G30:G32)</f>
        <v>6935040</v>
      </c>
      <c r="H29" s="395">
        <f>SUM(H30:H32)</f>
        <v>7316899</v>
      </c>
      <c r="I29" s="79">
        <f aca="true" t="shared" si="5" ref="I29:Q29">SUM(I30:I32)</f>
        <v>7156453</v>
      </c>
      <c r="J29" s="79">
        <f t="shared" si="5"/>
        <v>6200000</v>
      </c>
      <c r="K29" s="79">
        <f t="shared" si="5"/>
        <v>6300000</v>
      </c>
      <c r="L29" s="79">
        <f t="shared" si="5"/>
        <v>6901170</v>
      </c>
      <c r="M29" s="79">
        <f t="shared" si="5"/>
        <v>6062028</v>
      </c>
      <c r="N29" s="79">
        <f t="shared" si="5"/>
        <v>7850523</v>
      </c>
      <c r="O29" s="79">
        <f t="shared" si="5"/>
        <v>6800000</v>
      </c>
      <c r="P29" s="79">
        <f>SUM(P30:P32)</f>
        <v>5723949</v>
      </c>
      <c r="Q29" s="79">
        <f t="shared" si="5"/>
        <v>6500000</v>
      </c>
      <c r="R29" s="23"/>
    </row>
    <row r="30" spans="1:18" s="19" customFormat="1" ht="19.5" customHeight="1">
      <c r="A30" s="89"/>
      <c r="B30" s="627" t="s">
        <v>71</v>
      </c>
      <c r="C30" s="367" t="s">
        <v>89</v>
      </c>
      <c r="D30" s="79">
        <v>2963314</v>
      </c>
      <c r="E30" s="88">
        <v>3340085</v>
      </c>
      <c r="F30" s="370">
        <v>2141585</v>
      </c>
      <c r="G30" s="386">
        <f>Arkusz5!J8</f>
        <v>3535040</v>
      </c>
      <c r="H30" s="395">
        <f>Arkusz5!J12</f>
        <v>3666899</v>
      </c>
      <c r="I30" s="79">
        <f>Arkusz5!J16</f>
        <v>3506453</v>
      </c>
      <c r="J30" s="79">
        <f>Arkusz5!J20</f>
        <v>2550000</v>
      </c>
      <c r="K30" s="79">
        <f>Arkusz5!J24</f>
        <v>2550000</v>
      </c>
      <c r="L30" s="79">
        <f>Arkusz5!J28</f>
        <v>2401170</v>
      </c>
      <c r="M30" s="79">
        <f>Arkusz5!J32</f>
        <v>62028</v>
      </c>
      <c r="N30" s="79">
        <f>Arkusz5!J36</f>
        <v>750523</v>
      </c>
      <c r="O30" s="79">
        <f>Arkusz5!J40</f>
        <v>600000</v>
      </c>
      <c r="P30" s="79">
        <f>Arkusz5!J44</f>
        <v>423949</v>
      </c>
      <c r="Q30" s="79">
        <v>0</v>
      </c>
      <c r="R30" s="23"/>
    </row>
    <row r="31" spans="1:18" s="19" customFormat="1" ht="19.5" customHeight="1">
      <c r="A31" s="89"/>
      <c r="B31" s="627"/>
      <c r="C31" s="367" t="s">
        <v>90</v>
      </c>
      <c r="D31" s="79">
        <v>500000</v>
      </c>
      <c r="E31" s="88">
        <v>3600000</v>
      </c>
      <c r="F31" s="370">
        <v>410000</v>
      </c>
      <c r="G31" s="386">
        <v>400000</v>
      </c>
      <c r="H31" s="395">
        <f>Arkusz5!F12+600000</f>
        <v>650000</v>
      </c>
      <c r="I31" s="79">
        <f>Arkusz5!F16+600000</f>
        <v>650000</v>
      </c>
      <c r="J31" s="79">
        <f>Arkusz5!F20+600000</f>
        <v>650000</v>
      </c>
      <c r="K31" s="79">
        <f>Arkusz5!F24+700000</f>
        <v>750000</v>
      </c>
      <c r="L31" s="79">
        <f>Arkusz5!F28+1400000</f>
        <v>1500000</v>
      </c>
      <c r="M31" s="79">
        <f>Arkusz5!F32</f>
        <v>1000000</v>
      </c>
      <c r="N31" s="79">
        <f>Arkusz5!F36</f>
        <v>500000</v>
      </c>
      <c r="O31" s="79">
        <f>Arkusz5!F40</f>
        <v>500000</v>
      </c>
      <c r="P31" s="79">
        <f>Arkusz5!F44</f>
        <v>1200000</v>
      </c>
      <c r="Q31" s="79">
        <f>Arkusz5!F48</f>
        <v>6500000</v>
      </c>
      <c r="R31" s="23"/>
    </row>
    <row r="32" spans="1:18" s="19" customFormat="1" ht="19.5" customHeight="1">
      <c r="A32" s="89"/>
      <c r="B32" s="627"/>
      <c r="C32" s="367" t="s">
        <v>91</v>
      </c>
      <c r="D32" s="79"/>
      <c r="E32" s="88"/>
      <c r="F32" s="370">
        <v>2000000</v>
      </c>
      <c r="G32" s="386">
        <f>'spł obligacji'!J9</f>
        <v>3000000</v>
      </c>
      <c r="H32" s="395">
        <f>'spł obligacji'!J13</f>
        <v>3000000</v>
      </c>
      <c r="I32" s="79">
        <f>'spł obligacji'!J17</f>
        <v>3000000</v>
      </c>
      <c r="J32" s="79">
        <f>'spł obligacji'!J21</f>
        <v>3000000</v>
      </c>
      <c r="K32" s="79">
        <f>'spł obligacji'!J25</f>
        <v>3000000</v>
      </c>
      <c r="L32" s="79">
        <f>'spł obligacji'!J29</f>
        <v>3000000</v>
      </c>
      <c r="M32" s="79">
        <f>'spł obligacji'!J33</f>
        <v>5000000</v>
      </c>
      <c r="N32" s="79">
        <f>'spł obligacji'!J37</f>
        <v>6600000</v>
      </c>
      <c r="O32" s="79">
        <f>'spł obligacji'!J41</f>
        <v>5700000</v>
      </c>
      <c r="P32" s="79">
        <f>'spł obligacji'!F45</f>
        <v>4100000</v>
      </c>
      <c r="Q32" s="79">
        <f>'spł obligacji'!F49</f>
        <v>0</v>
      </c>
      <c r="R32" s="23"/>
    </row>
    <row r="33" spans="1:17" ht="20.25" customHeight="1">
      <c r="A33" s="76" t="s">
        <v>68</v>
      </c>
      <c r="B33" s="591" t="s">
        <v>92</v>
      </c>
      <c r="C33" s="592"/>
      <c r="D33" s="78">
        <v>1038878</v>
      </c>
      <c r="E33" s="88">
        <v>2125773</v>
      </c>
      <c r="F33" s="370">
        <v>2331976</v>
      </c>
      <c r="G33" s="386">
        <f>Arkusz5!K8+'spł obligacji'!K4+243250</f>
        <v>2679890</v>
      </c>
      <c r="H33" s="394">
        <f>'spł obligacji'!K13+Arkusz5!K12+146250</f>
        <v>3868194</v>
      </c>
      <c r="I33" s="79">
        <f>'spł obligacji'!K17+Arkusz5!K16+123750</f>
        <v>3448151</v>
      </c>
      <c r="J33" s="78">
        <f>'spł obligacji'!K21+Arkusz5!K20+101250</f>
        <v>3162256</v>
      </c>
      <c r="K33" s="78">
        <f>'spł obligacji'!K25+Arkusz5!K24+78750</f>
        <v>2880256.0000000005</v>
      </c>
      <c r="L33" s="78">
        <f>'spł obligacji'!K29+Arkusz5!K28+52500</f>
        <v>2595193.0000000005</v>
      </c>
      <c r="M33" s="78">
        <f>'spł obligacji'!K33+Arkusz5!K32</f>
        <v>2186331.2600000002</v>
      </c>
      <c r="N33" s="78">
        <f>'spł obligacji'!K37+Arkusz5!K36</f>
        <v>1687400.5400000003</v>
      </c>
      <c r="O33" s="78">
        <f>Arkusz5!K40+'spł obligacji'!K41</f>
        <v>1162801.4300000002</v>
      </c>
      <c r="P33" s="78">
        <f>'spł obligacji'!K45+Arkusz5!K44</f>
        <v>703007.3225</v>
      </c>
      <c r="Q33" s="78">
        <f>Arkusz5!K48+'spł obligacji'!K49</f>
        <v>218750</v>
      </c>
    </row>
    <row r="34" spans="1:17" ht="20.25" customHeight="1">
      <c r="A34" s="83">
        <v>8</v>
      </c>
      <c r="B34" s="589" t="s">
        <v>93</v>
      </c>
      <c r="C34" s="590"/>
      <c r="D34" s="84">
        <v>0</v>
      </c>
      <c r="E34" s="86">
        <v>40000</v>
      </c>
      <c r="F34" s="369">
        <v>0</v>
      </c>
      <c r="G34" s="385">
        <v>0</v>
      </c>
      <c r="H34" s="376">
        <v>0</v>
      </c>
      <c r="I34" s="81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</row>
    <row r="35" spans="1:17" ht="37.5" customHeight="1">
      <c r="A35" s="80">
        <v>9</v>
      </c>
      <c r="B35" s="625" t="s">
        <v>212</v>
      </c>
      <c r="C35" s="626"/>
      <c r="D35" s="81">
        <f aca="true" t="shared" si="6" ref="D35:M35">D27-D28-D34</f>
        <v>9366057</v>
      </c>
      <c r="E35" s="86">
        <f>E27-E28-E34</f>
        <v>1205823</v>
      </c>
      <c r="F35" s="369">
        <f>F27-F28-F34</f>
        <v>19821485</v>
      </c>
      <c r="G35" s="385">
        <f>G27-G28-G34</f>
        <v>55735438</v>
      </c>
      <c r="H35" s="379">
        <f>H27-H28-H34</f>
        <v>73810506</v>
      </c>
      <c r="I35" s="81">
        <f t="shared" si="6"/>
        <v>24791000</v>
      </c>
      <c r="J35" s="81">
        <f t="shared" si="6"/>
        <v>38476000</v>
      </c>
      <c r="K35" s="81">
        <f t="shared" si="6"/>
        <v>18500000</v>
      </c>
      <c r="L35" s="81">
        <f t="shared" si="6"/>
        <v>20000000</v>
      </c>
      <c r="M35" s="81">
        <f t="shared" si="6"/>
        <v>22999999.740000002</v>
      </c>
      <c r="N35" s="81">
        <f>N27-N28-N34</f>
        <v>25500000.46</v>
      </c>
      <c r="O35" s="81">
        <f>O36</f>
        <v>26000000</v>
      </c>
      <c r="P35" s="81">
        <f>P36</f>
        <v>28000000</v>
      </c>
      <c r="Q35" s="81">
        <f>Q36</f>
        <v>28000000</v>
      </c>
    </row>
    <row r="36" spans="1:17" ht="20.25" customHeight="1">
      <c r="A36" s="80">
        <v>10</v>
      </c>
      <c r="B36" s="625" t="s">
        <v>94</v>
      </c>
      <c r="C36" s="626"/>
      <c r="D36" s="81">
        <v>33260582</v>
      </c>
      <c r="E36" s="86">
        <v>9778746</v>
      </c>
      <c r="F36" s="369">
        <v>33421485</v>
      </c>
      <c r="G36" s="385">
        <v>72635438</v>
      </c>
      <c r="H36" s="379">
        <f>H37</f>
        <v>73810506</v>
      </c>
      <c r="I36" s="81">
        <f>I37</f>
        <v>24791000</v>
      </c>
      <c r="J36" s="81">
        <f>J37</f>
        <v>38476000</v>
      </c>
      <c r="K36" s="81">
        <v>18500000</v>
      </c>
      <c r="L36" s="81">
        <v>20000000</v>
      </c>
      <c r="M36" s="81">
        <v>23000000</v>
      </c>
      <c r="N36" s="81">
        <v>25500000</v>
      </c>
      <c r="O36" s="81">
        <v>26000000</v>
      </c>
      <c r="P36" s="81">
        <v>28000000</v>
      </c>
      <c r="Q36" s="81">
        <v>28000000</v>
      </c>
    </row>
    <row r="37" spans="1:17" ht="36" customHeight="1">
      <c r="A37" s="76" t="s">
        <v>66</v>
      </c>
      <c r="B37" s="90" t="s">
        <v>71</v>
      </c>
      <c r="C37" s="365" t="s">
        <v>95</v>
      </c>
      <c r="D37" s="78" t="s">
        <v>81</v>
      </c>
      <c r="E37" s="88" t="s">
        <v>81</v>
      </c>
      <c r="F37" s="370">
        <v>10341509</v>
      </c>
      <c r="G37" s="386">
        <f>'Wykaz przedsięwzięć'!L15</f>
        <v>55281041</v>
      </c>
      <c r="H37" s="395">
        <f>'Wykaz przedsięwzięć'!M14</f>
        <v>73810506</v>
      </c>
      <c r="I37" s="79">
        <f>'Wykaz przedsięwzięć'!N15</f>
        <v>24791000</v>
      </c>
      <c r="J37" s="79">
        <f>'Wykaz przedsięwzięć'!O15</f>
        <v>38476000</v>
      </c>
      <c r="K37" s="79">
        <f>'Wykaz przedsięwzięć'!P15</f>
        <v>2360000</v>
      </c>
      <c r="L37" s="79"/>
      <c r="M37" s="79"/>
      <c r="N37" s="79"/>
      <c r="O37" s="79"/>
      <c r="P37" s="79"/>
      <c r="Q37" s="79"/>
    </row>
    <row r="38" spans="1:17" ht="15">
      <c r="A38" s="91"/>
      <c r="B38" s="92"/>
      <c r="C38" s="93"/>
      <c r="D38" s="94"/>
      <c r="E38" s="222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30" customHeight="1">
      <c r="A39" s="96"/>
      <c r="B39" s="97"/>
      <c r="C39" s="98"/>
      <c r="D39" s="99"/>
      <c r="E39" s="223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30" customHeight="1">
      <c r="A40" s="96"/>
      <c r="B40" s="97"/>
      <c r="C40" s="98"/>
      <c r="D40" s="99"/>
      <c r="E40" s="223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37.5" customHeight="1">
      <c r="A41" s="96"/>
      <c r="B41" s="97"/>
      <c r="C41" s="98"/>
      <c r="D41" s="99"/>
      <c r="E41" s="223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38.25" customHeight="1">
      <c r="A42" s="96"/>
      <c r="B42" s="97"/>
      <c r="C42" s="98"/>
      <c r="D42" s="99"/>
      <c r="E42" s="22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27" customHeight="1">
      <c r="A43" s="96"/>
      <c r="B43" s="97"/>
      <c r="C43" s="98"/>
      <c r="D43" s="99"/>
      <c r="E43" s="22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28.5" customHeight="1">
      <c r="A44" s="96"/>
      <c r="B44" s="97"/>
      <c r="C44" s="98"/>
      <c r="D44" s="99"/>
      <c r="E44" s="223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t="15">
      <c r="A45" s="96"/>
      <c r="B45" s="97"/>
      <c r="C45" s="98"/>
      <c r="D45" s="99"/>
      <c r="E45" s="22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t="18" customHeight="1">
      <c r="A46" s="96"/>
      <c r="B46" s="97"/>
      <c r="C46" s="98"/>
      <c r="D46" s="99"/>
      <c r="E46" s="223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6.75" customHeight="1" thickBot="1">
      <c r="A47" s="96"/>
      <c r="B47" s="97"/>
      <c r="C47" s="98"/>
      <c r="D47" s="99"/>
      <c r="E47" s="223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ht="17.25" customHeight="1" thickBot="1">
      <c r="A48" s="602" t="s">
        <v>61</v>
      </c>
      <c r="B48" s="617" t="s">
        <v>62</v>
      </c>
      <c r="C48" s="617"/>
      <c r="D48" s="584" t="s">
        <v>396</v>
      </c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4"/>
    </row>
    <row r="49" spans="1:17" ht="17.25" customHeight="1" thickBot="1">
      <c r="A49" s="602"/>
      <c r="B49" s="617"/>
      <c r="C49" s="617"/>
      <c r="D49" s="584" t="s">
        <v>63</v>
      </c>
      <c r="E49" s="585"/>
      <c r="F49" s="586"/>
      <c r="G49" s="605" t="s">
        <v>64</v>
      </c>
      <c r="H49" s="606"/>
      <c r="I49" s="606"/>
      <c r="J49" s="606"/>
      <c r="K49" s="606"/>
      <c r="L49" s="606"/>
      <c r="M49" s="606"/>
      <c r="N49" s="606"/>
      <c r="O49" s="606"/>
      <c r="P49" s="606"/>
      <c r="Q49" s="607"/>
    </row>
    <row r="50" spans="1:17" ht="13.5" customHeight="1" thickBot="1">
      <c r="A50" s="602"/>
      <c r="B50" s="617"/>
      <c r="C50" s="584"/>
      <c r="D50" s="616">
        <v>2009</v>
      </c>
      <c r="E50" s="580">
        <v>2010</v>
      </c>
      <c r="F50" s="593" t="s">
        <v>286</v>
      </c>
      <c r="G50" s="595">
        <v>2012</v>
      </c>
      <c r="H50" s="615">
        <v>2013</v>
      </c>
      <c r="I50" s="588">
        <v>2014</v>
      </c>
      <c r="J50" s="588">
        <v>2015</v>
      </c>
      <c r="K50" s="588">
        <v>2016</v>
      </c>
      <c r="L50" s="588">
        <v>2017</v>
      </c>
      <c r="M50" s="588">
        <v>2018</v>
      </c>
      <c r="N50" s="588">
        <v>2019</v>
      </c>
      <c r="O50" s="588">
        <v>2020</v>
      </c>
      <c r="P50" s="588">
        <v>2021</v>
      </c>
      <c r="Q50" s="588">
        <v>2022</v>
      </c>
    </row>
    <row r="51" spans="1:17" ht="24.75" customHeight="1" thickBot="1">
      <c r="A51" s="602"/>
      <c r="B51" s="617"/>
      <c r="C51" s="584"/>
      <c r="D51" s="588"/>
      <c r="E51" s="581"/>
      <c r="F51" s="594"/>
      <c r="G51" s="595"/>
      <c r="H51" s="615"/>
      <c r="I51" s="588"/>
      <c r="J51" s="588"/>
      <c r="K51" s="588"/>
      <c r="L51" s="588"/>
      <c r="M51" s="588"/>
      <c r="N51" s="588"/>
      <c r="O51" s="588"/>
      <c r="P51" s="588"/>
      <c r="Q51" s="588"/>
    </row>
    <row r="52" spans="1:17" ht="27" customHeight="1">
      <c r="A52" s="83">
        <v>11</v>
      </c>
      <c r="B52" s="589" t="s">
        <v>96</v>
      </c>
      <c r="C52" s="590"/>
      <c r="D52" s="84">
        <v>25140000</v>
      </c>
      <c r="E52" s="86">
        <v>9000000</v>
      </c>
      <c r="F52" s="369">
        <f>SUM(F53:F56)</f>
        <v>13600000</v>
      </c>
      <c r="G52" s="385">
        <f>SUM(G53:G56)</f>
        <v>16900000</v>
      </c>
      <c r="H52" s="376">
        <v>0</v>
      </c>
      <c r="I52" s="81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/>
      <c r="Q52" s="84">
        <v>0</v>
      </c>
    </row>
    <row r="53" spans="1:17" ht="21" customHeight="1">
      <c r="A53" s="101"/>
      <c r="B53" s="622" t="s">
        <v>71</v>
      </c>
      <c r="C53" s="367" t="s">
        <v>89</v>
      </c>
      <c r="D53" s="78">
        <v>6330000</v>
      </c>
      <c r="E53" s="79"/>
      <c r="F53" s="370">
        <v>2100000</v>
      </c>
      <c r="G53" s="386"/>
      <c r="H53" s="376"/>
      <c r="I53" s="81"/>
      <c r="J53" s="84"/>
      <c r="K53" s="84"/>
      <c r="L53" s="84"/>
      <c r="M53" s="84"/>
      <c r="N53" s="84"/>
      <c r="O53" s="84"/>
      <c r="P53" s="84"/>
      <c r="Q53" s="84"/>
    </row>
    <row r="54" spans="1:17" ht="21" customHeight="1">
      <c r="A54" s="119"/>
      <c r="B54" s="623"/>
      <c r="C54" s="367" t="s">
        <v>90</v>
      </c>
      <c r="D54" s="78">
        <v>4810000</v>
      </c>
      <c r="E54" s="79"/>
      <c r="F54" s="370">
        <v>0</v>
      </c>
      <c r="G54" s="386">
        <v>10000000</v>
      </c>
      <c r="H54" s="376"/>
      <c r="I54" s="81"/>
      <c r="J54" s="84"/>
      <c r="K54" s="84"/>
      <c r="L54" s="84"/>
      <c r="M54" s="84"/>
      <c r="N54" s="84"/>
      <c r="O54" s="84"/>
      <c r="P54" s="84"/>
      <c r="Q54" s="84"/>
    </row>
    <row r="55" spans="1:17" ht="21" customHeight="1">
      <c r="A55" s="119"/>
      <c r="B55" s="623"/>
      <c r="C55" s="367" t="s">
        <v>213</v>
      </c>
      <c r="D55" s="78">
        <v>14000000</v>
      </c>
      <c r="E55" s="79">
        <v>9000000</v>
      </c>
      <c r="F55" s="370">
        <v>7000000</v>
      </c>
      <c r="G55" s="386"/>
      <c r="H55" s="376"/>
      <c r="I55" s="81"/>
      <c r="J55" s="84"/>
      <c r="K55" s="84"/>
      <c r="L55" s="84"/>
      <c r="M55" s="84"/>
      <c r="N55" s="84"/>
      <c r="O55" s="84"/>
      <c r="P55" s="84"/>
      <c r="Q55" s="84"/>
    </row>
    <row r="56" spans="1:17" ht="36.75" customHeight="1">
      <c r="A56" s="119"/>
      <c r="B56" s="624"/>
      <c r="C56" s="367" t="s">
        <v>214</v>
      </c>
      <c r="D56" s="78"/>
      <c r="E56" s="79"/>
      <c r="F56" s="370">
        <v>4500000</v>
      </c>
      <c r="G56" s="386">
        <v>6900000</v>
      </c>
      <c r="H56" s="376"/>
      <c r="I56" s="81"/>
      <c r="J56" s="84"/>
      <c r="K56" s="84"/>
      <c r="L56" s="84"/>
      <c r="M56" s="84"/>
      <c r="N56" s="84"/>
      <c r="O56" s="84"/>
      <c r="P56" s="84"/>
      <c r="Q56" s="84"/>
    </row>
    <row r="57" spans="1:18" ht="68.25" customHeight="1">
      <c r="A57" s="83" t="s">
        <v>66</v>
      </c>
      <c r="B57" s="612" t="s">
        <v>98</v>
      </c>
      <c r="C57" s="618"/>
      <c r="D57" s="78">
        <v>3719761</v>
      </c>
      <c r="E57" s="79">
        <v>1245475</v>
      </c>
      <c r="F57" s="370">
        <v>427077</v>
      </c>
      <c r="G57" s="386">
        <v>4004678</v>
      </c>
      <c r="H57" s="376"/>
      <c r="I57" s="81"/>
      <c r="J57" s="84"/>
      <c r="K57" s="84"/>
      <c r="L57" s="84"/>
      <c r="M57" s="84"/>
      <c r="N57" s="84"/>
      <c r="O57" s="84"/>
      <c r="P57" s="84"/>
      <c r="Q57" s="84"/>
      <c r="R57" s="420"/>
    </row>
    <row r="58" spans="1:18" ht="21" customHeight="1">
      <c r="A58" s="83" t="s">
        <v>68</v>
      </c>
      <c r="B58" s="612" t="s">
        <v>99</v>
      </c>
      <c r="C58" s="618"/>
      <c r="D58" s="78"/>
      <c r="E58" s="79"/>
      <c r="F58" s="370"/>
      <c r="G58" s="386"/>
      <c r="H58" s="376"/>
      <c r="I58" s="81"/>
      <c r="J58" s="84"/>
      <c r="K58" s="84"/>
      <c r="L58" s="84"/>
      <c r="M58" s="84"/>
      <c r="N58" s="84"/>
      <c r="O58" s="84"/>
      <c r="P58" s="84"/>
      <c r="Q58" s="84"/>
      <c r="R58" s="420"/>
    </row>
    <row r="59" spans="1:18" ht="29.25" customHeight="1">
      <c r="A59" s="102">
        <v>12</v>
      </c>
      <c r="B59" s="600" t="s">
        <v>100</v>
      </c>
      <c r="C59" s="601"/>
      <c r="D59" s="218">
        <f aca="true" t="shared" si="7" ref="D59:Q59">D35-D36+D52</f>
        <v>1245475</v>
      </c>
      <c r="E59" s="219">
        <f t="shared" si="7"/>
        <v>427077</v>
      </c>
      <c r="F59" s="371">
        <f t="shared" si="7"/>
        <v>0</v>
      </c>
      <c r="G59" s="387">
        <f>G35-G36+G52</f>
        <v>0</v>
      </c>
      <c r="H59" s="377">
        <f t="shared" si="7"/>
        <v>0</v>
      </c>
      <c r="I59" s="103">
        <f t="shared" si="7"/>
        <v>0</v>
      </c>
      <c r="J59" s="103">
        <f t="shared" si="7"/>
        <v>0</v>
      </c>
      <c r="K59" s="103">
        <f t="shared" si="7"/>
        <v>0</v>
      </c>
      <c r="L59" s="103">
        <f t="shared" si="7"/>
        <v>0</v>
      </c>
      <c r="M59" s="103">
        <f>M35-M36+M52</f>
        <v>-0.25999999791383743</v>
      </c>
      <c r="N59" s="103">
        <f t="shared" si="7"/>
        <v>0.46000000089406967</v>
      </c>
      <c r="O59" s="103">
        <f t="shared" si="7"/>
        <v>0</v>
      </c>
      <c r="P59" s="103">
        <f t="shared" si="7"/>
        <v>0</v>
      </c>
      <c r="Q59" s="103">
        <f t="shared" si="7"/>
        <v>0</v>
      </c>
      <c r="R59" s="421"/>
    </row>
    <row r="60" spans="1:18" ht="22.5" customHeight="1">
      <c r="A60" s="104">
        <v>13</v>
      </c>
      <c r="B60" s="619" t="s">
        <v>101</v>
      </c>
      <c r="C60" s="620"/>
      <c r="D60" s="85">
        <f>'Prognoza długu'!C10</f>
        <v>45737732</v>
      </c>
      <c r="E60" s="86">
        <f>'Prognoza długu'!D10</f>
        <v>47797647</v>
      </c>
      <c r="F60" s="372">
        <f>'Prognoza długu'!E10</f>
        <v>56846062</v>
      </c>
      <c r="G60" s="388">
        <f>'Prognoza długu'!F10</f>
        <v>66811022</v>
      </c>
      <c r="H60" s="378">
        <f>'Prognoza długu'!G10</f>
        <v>59494123</v>
      </c>
      <c r="I60" s="86">
        <f>'Prognoza długu'!H10</f>
        <v>52337670</v>
      </c>
      <c r="J60" s="86">
        <f>'Prognoza długu'!I10</f>
        <v>46137670</v>
      </c>
      <c r="K60" s="85">
        <f>'Prognoza długu'!J10</f>
        <v>39837670</v>
      </c>
      <c r="L60" s="85">
        <f>'Prognoza długu'!K10</f>
        <v>32936500</v>
      </c>
      <c r="M60" s="85">
        <f>'Prognoza długu'!L10</f>
        <v>26874472</v>
      </c>
      <c r="N60" s="85">
        <f>'Prognoza długu'!M10</f>
        <v>19023949</v>
      </c>
      <c r="O60" s="85">
        <f>'Prognoza długu'!N10</f>
        <v>12223949</v>
      </c>
      <c r="P60" s="85">
        <f>'Prognoza długu'!O10</f>
        <v>6500000</v>
      </c>
      <c r="Q60" s="85">
        <f>'Prognoza długu'!P10</f>
        <v>0</v>
      </c>
      <c r="R60" s="422"/>
    </row>
    <row r="61" spans="1:18" ht="65.25" customHeight="1">
      <c r="A61" s="598"/>
      <c r="B61" s="599" t="s">
        <v>71</v>
      </c>
      <c r="C61" s="365" t="s">
        <v>102</v>
      </c>
      <c r="D61" s="84">
        <v>0</v>
      </c>
      <c r="E61" s="81">
        <v>0</v>
      </c>
      <c r="F61" s="369">
        <v>2100000</v>
      </c>
      <c r="G61" s="385">
        <v>2050000</v>
      </c>
      <c r="H61" s="379">
        <v>2000000</v>
      </c>
      <c r="I61" s="81">
        <v>1950000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/>
      <c r="Q61" s="81">
        <v>0</v>
      </c>
      <c r="R61" s="420"/>
    </row>
    <row r="62" spans="1:17" ht="87.75" customHeight="1">
      <c r="A62" s="598"/>
      <c r="B62" s="599"/>
      <c r="C62" s="365" t="s">
        <v>227</v>
      </c>
      <c r="D62" s="84">
        <v>0</v>
      </c>
      <c r="E62" s="81">
        <v>0</v>
      </c>
      <c r="F62" s="369"/>
      <c r="G62" s="385">
        <v>50000</v>
      </c>
      <c r="H62" s="379">
        <v>50000</v>
      </c>
      <c r="I62" s="81">
        <v>50000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/>
      <c r="Q62" s="81">
        <v>0</v>
      </c>
    </row>
    <row r="63" spans="1:17" ht="66" customHeight="1">
      <c r="A63" s="104">
        <v>14</v>
      </c>
      <c r="B63" s="596" t="s">
        <v>103</v>
      </c>
      <c r="C63" s="597"/>
      <c r="D63" s="84">
        <v>0</v>
      </c>
      <c r="E63" s="81">
        <v>0</v>
      </c>
      <c r="F63" s="369">
        <v>0</v>
      </c>
      <c r="G63" s="385">
        <v>0</v>
      </c>
      <c r="H63" s="379">
        <v>0</v>
      </c>
      <c r="I63" s="81">
        <v>0</v>
      </c>
      <c r="J63" s="8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/>
      <c r="Q63" s="84">
        <v>0</v>
      </c>
    </row>
    <row r="64" spans="1:17" ht="39" customHeight="1">
      <c r="A64" s="104">
        <v>15</v>
      </c>
      <c r="B64" s="596" t="s">
        <v>216</v>
      </c>
      <c r="C64" s="597"/>
      <c r="D64" s="105">
        <f>D28/D13*100</f>
        <v>5.510659630018439</v>
      </c>
      <c r="E64" s="220">
        <f>E28/E13*100</f>
        <v>10.653694792951553</v>
      </c>
      <c r="F64" s="220">
        <f>F28/F13*100</f>
        <v>6.023511077561799</v>
      </c>
      <c r="G64" s="414">
        <f>G28/G13*100</f>
        <v>5.87444122904103</v>
      </c>
      <c r="H64" s="220">
        <f>H28/H13*100</f>
        <v>6.697025705270128</v>
      </c>
      <c r="I64" s="220"/>
      <c r="J64" s="220"/>
      <c r="K64" s="105"/>
      <c r="L64" s="105"/>
      <c r="M64" s="105"/>
      <c r="N64" s="105"/>
      <c r="O64" s="105"/>
      <c r="P64" s="105"/>
      <c r="Q64" s="105"/>
    </row>
    <row r="65" spans="1:17" ht="39" customHeight="1">
      <c r="A65" s="104">
        <v>16</v>
      </c>
      <c r="B65" s="596" t="s">
        <v>215</v>
      </c>
      <c r="C65" s="597"/>
      <c r="D65" s="105">
        <f>D60/D13*100</f>
        <v>55.98274647127499</v>
      </c>
      <c r="E65" s="220">
        <f>E60/E13*100</f>
        <v>56.16915056018266</v>
      </c>
      <c r="F65" s="373">
        <f>F60/F13*100</f>
        <v>49.7435679254916</v>
      </c>
      <c r="G65" s="389">
        <f>G60/G13*100</f>
        <v>40.819581857711626</v>
      </c>
      <c r="H65" s="380">
        <f>H60/H13*100</f>
        <v>35.62184695679354</v>
      </c>
      <c r="I65" s="220"/>
      <c r="J65" s="220"/>
      <c r="K65" s="105"/>
      <c r="L65" s="105"/>
      <c r="M65" s="105"/>
      <c r="N65" s="105"/>
      <c r="O65" s="105"/>
      <c r="P65" s="105"/>
      <c r="Q65" s="105"/>
    </row>
    <row r="66" spans="1:17" ht="66.75" customHeight="1">
      <c r="A66" s="106">
        <v>17</v>
      </c>
      <c r="B66" s="596" t="s">
        <v>104</v>
      </c>
      <c r="C66" s="597"/>
      <c r="D66" s="363" t="s">
        <v>70</v>
      </c>
      <c r="E66" s="221">
        <v>0.1911</v>
      </c>
      <c r="F66" s="374">
        <v>0.1292</v>
      </c>
      <c r="G66" s="390">
        <v>0.0951</v>
      </c>
      <c r="H66" s="381">
        <v>0.168</v>
      </c>
      <c r="I66" s="221">
        <v>0.2426</v>
      </c>
      <c r="J66" s="221">
        <f>1/3*((G14+G16-'Prognoza długu'!F25)/WPF!G13+(WPF!H14+WPF!H16-'Prognoza długu'!G25)/WPF!H13+(WPF!I14+WPF!I16-'Prognoza długu'!H25)/WPF!I13)</f>
        <v>0.29664510192194304</v>
      </c>
      <c r="K66" s="363">
        <f>1/3*((H14+H16-'Prognoza długu'!G25)/WPF!H13+(WPF!I14+WPF!I16-'Prognoza długu'!H25)/WPF!I13+(WPF!J14+WPF!J16-'Prognoza długu'!I25)/WPF!J13)</f>
        <v>0.28132474347433584</v>
      </c>
      <c r="L66" s="363">
        <f>1/3*((I14+I16-'Prognoza długu'!H25)/WPF!I13+(WPF!J14+WPF!J16-'Prognoza długu'!I25)/WPF!J13+(WPF!K14+WPF!K16-'Prognoza długu'!J25)/WPF!K13)</f>
        <v>0.24732870979127175</v>
      </c>
      <c r="M66" s="363">
        <f>1/3*((J14+J16-'Prognoza długu'!I25)/WPF!J13+(WPF!K14+WPF!K16-'Prognoza długu'!J25)/WPF!K13+(WPF!L14+WPF!L16-'Prognoza długu'!K25)/WPF!L13)</f>
        <v>0.22622952818544154</v>
      </c>
      <c r="N66" s="363">
        <f>1/3*((K14+K16-'Prognoza długu'!J25)/WPF!K13+(WPF!L14+WPF!L16-'Prognoza długu'!K25)/WPF!L13+(WPF!M14+WPF!M16-'Prognoza długu'!L25)/WPF!M13)</f>
        <v>0.20601513420253065</v>
      </c>
      <c r="O66" s="363">
        <f>1/3*((L14+L16-'Prognoza długu'!K25)/WPF!L13+(WPF!M14+WPF!M16-'Prognoza długu'!L25)/WPF!M13+(WPF!N14+WPF!N16-'Prognoza długu'!M25)/WPF!N13)</f>
        <v>0.21917322360843822</v>
      </c>
      <c r="P66" s="363">
        <f>1/3*((M14+M16-'Prognoza długu'!L25)/WPF!M13+(WPF!N14+WPF!N16-'Prognoza długu'!M25)/WPF!N13+(WPF!O14+WPF!O16-'Prognoza długu'!N25)/WPF!O13)</f>
        <v>0.2257307615357908</v>
      </c>
      <c r="Q66" s="363">
        <f>1/3*((N14+N16-'Prognoza długu'!M25)/WPF!N13+(WPF!O14+WPF!O16-'Prognoza długu'!N25)/WPF!O13+(WPF!P14+WPF!P16-'Prognoza długu'!O25)/WPF!P13)</f>
        <v>0.23124115375260085</v>
      </c>
    </row>
    <row r="67" spans="1:17" ht="33.75" customHeight="1">
      <c r="A67" s="106">
        <v>18</v>
      </c>
      <c r="B67" s="596" t="s">
        <v>105</v>
      </c>
      <c r="C67" s="597"/>
      <c r="D67" s="107">
        <f aca="true" t="shared" si="8" ref="D67:O67">D28/D13</f>
        <v>0.055106596300184385</v>
      </c>
      <c r="E67" s="221">
        <f t="shared" si="8"/>
        <v>0.10653694792951553</v>
      </c>
      <c r="F67" s="374">
        <f t="shared" si="8"/>
        <v>0.06023511077561799</v>
      </c>
      <c r="G67" s="390">
        <f t="shared" si="8"/>
        <v>0.058744412290410296</v>
      </c>
      <c r="H67" s="381">
        <f t="shared" si="8"/>
        <v>0.06697025705270128</v>
      </c>
      <c r="I67" s="221">
        <f t="shared" si="8"/>
        <v>0.08977341005480777</v>
      </c>
      <c r="J67" s="221">
        <f>J28/J13</f>
        <v>0.07192021287432172</v>
      </c>
      <c r="K67" s="107">
        <f t="shared" si="8"/>
        <v>0.07309925343696257</v>
      </c>
      <c r="L67" s="107">
        <f t="shared" si="8"/>
        <v>0.07312729586366981</v>
      </c>
      <c r="M67" s="107">
        <f t="shared" si="8"/>
        <v>0.060571945214944335</v>
      </c>
      <c r="N67" s="107">
        <f t="shared" si="8"/>
        <v>0.06776487525536011</v>
      </c>
      <c r="O67" s="107">
        <f t="shared" si="8"/>
        <v>0.05506632642670413</v>
      </c>
      <c r="P67" s="107">
        <f>P28/P13</f>
        <v>0.04382255473443259</v>
      </c>
      <c r="Q67" s="107">
        <f>Q28/Q13</f>
        <v>0.045196040157560374</v>
      </c>
    </row>
    <row r="68" spans="1:17" ht="38.25" customHeight="1">
      <c r="A68" s="106">
        <v>19</v>
      </c>
      <c r="B68" s="596" t="s">
        <v>106</v>
      </c>
      <c r="C68" s="597"/>
      <c r="D68" s="363" t="s">
        <v>70</v>
      </c>
      <c r="E68" s="221">
        <f>E66-E67</f>
        <v>0.08456305207048447</v>
      </c>
      <c r="F68" s="374">
        <f aca="true" t="shared" si="9" ref="F68:O68">F66-F67</f>
        <v>0.06896488922438201</v>
      </c>
      <c r="G68" s="390">
        <f t="shared" si="9"/>
        <v>0.03635558770958971</v>
      </c>
      <c r="H68" s="381">
        <f t="shared" si="9"/>
        <v>0.10102974294729873</v>
      </c>
      <c r="I68" s="221">
        <f>I66-I67</f>
        <v>0.15282658994519224</v>
      </c>
      <c r="J68" s="221">
        <f t="shared" si="9"/>
        <v>0.22472488904762133</v>
      </c>
      <c r="K68" s="221">
        <f t="shared" si="9"/>
        <v>0.20822549003737328</v>
      </c>
      <c r="L68" s="221">
        <f t="shared" si="9"/>
        <v>0.17420141392760194</v>
      </c>
      <c r="M68" s="221">
        <f t="shared" si="9"/>
        <v>0.1656575829704972</v>
      </c>
      <c r="N68" s="221">
        <f t="shared" si="9"/>
        <v>0.13825025894717052</v>
      </c>
      <c r="O68" s="221">
        <f t="shared" si="9"/>
        <v>0.1641068971817341</v>
      </c>
      <c r="P68" s="221">
        <f>P66-P67</f>
        <v>0.18190820680135822</v>
      </c>
      <c r="Q68" s="221">
        <f>Q66-Q67</f>
        <v>0.18604511359504047</v>
      </c>
    </row>
    <row r="69" spans="1:17" ht="16.5" customHeight="1">
      <c r="A69" s="106">
        <v>20</v>
      </c>
      <c r="B69" s="596" t="s">
        <v>107</v>
      </c>
      <c r="C69" s="597"/>
      <c r="D69" s="85">
        <f>'Prognoza długu'!C24</f>
        <v>105850665</v>
      </c>
      <c r="E69" s="85">
        <f>'Prognoza długu'!D24</f>
        <v>87934218</v>
      </c>
      <c r="F69" s="372">
        <f>'Prognoza długu'!E24</f>
        <v>123753708</v>
      </c>
      <c r="G69" s="388">
        <f>'Prognoza długu'!F24</f>
        <v>177643588</v>
      </c>
      <c r="H69" s="382">
        <f>'Prognoza długu'!G24</f>
        <v>159698930</v>
      </c>
      <c r="I69" s="85">
        <f>'Prognoza długu'!H24</f>
        <v>110969883</v>
      </c>
      <c r="J69" s="85">
        <f>'Prognoza długu'!I24</f>
        <v>123975588</v>
      </c>
      <c r="K69" s="85">
        <f>'Prognoza długu'!J24</f>
        <v>119286180</v>
      </c>
      <c r="L69" s="85">
        <f>'Prognoza długu'!K24</f>
        <v>122959546</v>
      </c>
      <c r="M69" s="85">
        <f>'Prognoza długu'!L24</f>
        <v>130112553.26</v>
      </c>
      <c r="N69" s="85">
        <f>'Prognoza długu'!M24</f>
        <v>132899732.54</v>
      </c>
      <c r="O69" s="85">
        <f>'Prognoza długu'!N24</f>
        <v>137803825.43</v>
      </c>
      <c r="P69" s="85">
        <f>'Prognoza długu'!O24</f>
        <v>140934692.3225</v>
      </c>
      <c r="Q69" s="85">
        <f>'Prognoza długu'!P24</f>
        <v>142157935</v>
      </c>
    </row>
    <row r="70" spans="1:17" ht="16.5" customHeight="1">
      <c r="A70" s="106">
        <v>21</v>
      </c>
      <c r="B70" s="596" t="s">
        <v>108</v>
      </c>
      <c r="C70" s="597"/>
      <c r="D70" s="85">
        <f>'Prognoza długu'!C25</f>
        <v>72590083</v>
      </c>
      <c r="E70" s="85">
        <f>'Prognoza długu'!D25</f>
        <v>78155472</v>
      </c>
      <c r="F70" s="372">
        <f>'Prognoza długu'!E25</f>
        <v>90332223</v>
      </c>
      <c r="G70" s="388">
        <f>'Prognoza długu'!F25</f>
        <v>105008150</v>
      </c>
      <c r="H70" s="382">
        <f>'Prognoza długu'!G25</f>
        <v>85888424</v>
      </c>
      <c r="I70" s="85">
        <f>'Prognoza długu'!H25</f>
        <v>86178883</v>
      </c>
      <c r="J70" s="85">
        <f>'Prognoza długu'!I25</f>
        <v>85499588</v>
      </c>
      <c r="K70" s="85">
        <f>'Prognoza długu'!J25</f>
        <v>100786180</v>
      </c>
      <c r="L70" s="85">
        <f>'Prognoza długu'!K25</f>
        <v>102959546</v>
      </c>
      <c r="M70" s="85">
        <f>'Prognoza długu'!L25</f>
        <v>107112553.26</v>
      </c>
      <c r="N70" s="85">
        <f>'Prognoza długu'!M25</f>
        <v>107399732.54</v>
      </c>
      <c r="O70" s="85">
        <f>'Prognoza długu'!N25</f>
        <v>111803825.43</v>
      </c>
      <c r="P70" s="85">
        <f>'Prognoza długu'!O25</f>
        <v>112934692.3225</v>
      </c>
      <c r="Q70" s="85">
        <f>'Prognoza długu'!P25</f>
        <v>114157935</v>
      </c>
    </row>
    <row r="71" spans="1:17" ht="35.25" customHeight="1">
      <c r="A71" s="106">
        <v>22</v>
      </c>
      <c r="B71" s="596" t="s">
        <v>137</v>
      </c>
      <c r="C71" s="597"/>
      <c r="D71" s="85">
        <f aca="true" t="shared" si="10" ref="D71:N71">D13-D69</f>
        <v>-24150972</v>
      </c>
      <c r="E71" s="85">
        <f t="shared" si="10"/>
        <v>-2838313</v>
      </c>
      <c r="F71" s="372">
        <f t="shared" si="10"/>
        <v>-9475492</v>
      </c>
      <c r="G71" s="388">
        <f t="shared" si="10"/>
        <v>-13969638</v>
      </c>
      <c r="H71" s="382">
        <f t="shared" si="10"/>
        <v>7316899</v>
      </c>
      <c r="I71" s="85">
        <f t="shared" si="10"/>
        <v>7156453</v>
      </c>
      <c r="J71" s="85">
        <f t="shared" si="10"/>
        <v>6200000</v>
      </c>
      <c r="K71" s="85">
        <f t="shared" si="10"/>
        <v>6300000</v>
      </c>
      <c r="L71" s="85">
        <f t="shared" si="10"/>
        <v>6901170</v>
      </c>
      <c r="M71" s="85">
        <f t="shared" si="10"/>
        <v>6062027.739999995</v>
      </c>
      <c r="N71" s="85">
        <f t="shared" si="10"/>
        <v>7850523.459999993</v>
      </c>
      <c r="O71" s="85">
        <f>O13-O69</f>
        <v>6799999.569999993</v>
      </c>
      <c r="P71" s="85">
        <f>P13-P69</f>
        <v>5723948.67750001</v>
      </c>
      <c r="Q71" s="85">
        <f>Q13-Q69</f>
        <v>6500000</v>
      </c>
    </row>
    <row r="72" spans="1:17" ht="17.25" customHeight="1">
      <c r="A72" s="104">
        <v>23</v>
      </c>
      <c r="B72" s="590" t="s">
        <v>208</v>
      </c>
      <c r="C72" s="611"/>
      <c r="D72" s="84">
        <f>SUM(D73:D77)</f>
        <v>24150972</v>
      </c>
      <c r="E72" s="84">
        <f>SUM(E73:E77)</f>
        <v>2838313</v>
      </c>
      <c r="F72" s="369">
        <f>SUM(F73:F77)</f>
        <v>9475492</v>
      </c>
      <c r="G72" s="385">
        <f>SUM(G73:G77)</f>
        <v>13969638</v>
      </c>
      <c r="H72" s="382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5" customHeight="1">
      <c r="A73" s="108" t="s">
        <v>66</v>
      </c>
      <c r="B73" s="610" t="s">
        <v>89</v>
      </c>
      <c r="C73" s="611"/>
      <c r="D73" s="78">
        <v>6330000</v>
      </c>
      <c r="E73" s="78"/>
      <c r="F73" s="370">
        <v>2100000</v>
      </c>
      <c r="G73" s="388"/>
      <c r="H73" s="382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5" customHeight="1">
      <c r="A74" s="108" t="s">
        <v>68</v>
      </c>
      <c r="B74" s="610" t="s">
        <v>90</v>
      </c>
      <c r="C74" s="611"/>
      <c r="D74" s="78">
        <v>4810000</v>
      </c>
      <c r="E74" s="78"/>
      <c r="F74" s="370"/>
      <c r="G74" s="388">
        <v>10000000</v>
      </c>
      <c r="H74" s="382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customHeight="1">
      <c r="A75" s="108" t="s">
        <v>76</v>
      </c>
      <c r="B75" s="610" t="s">
        <v>206</v>
      </c>
      <c r="C75" s="611"/>
      <c r="D75" s="78"/>
      <c r="E75" s="78"/>
      <c r="F75" s="370"/>
      <c r="G75" s="388"/>
      <c r="H75" s="382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48.75" customHeight="1">
      <c r="A76" s="108" t="s">
        <v>79</v>
      </c>
      <c r="B76" s="612" t="s">
        <v>98</v>
      </c>
      <c r="C76" s="611"/>
      <c r="D76" s="78"/>
      <c r="E76" s="78"/>
      <c r="F76" s="370">
        <v>375492</v>
      </c>
      <c r="G76" s="388">
        <v>3969638</v>
      </c>
      <c r="H76" s="382"/>
      <c r="I76" s="85"/>
      <c r="J76" s="85"/>
      <c r="K76" s="85"/>
      <c r="L76" s="85"/>
      <c r="M76" s="85"/>
      <c r="N76" s="85"/>
      <c r="O76" s="85"/>
      <c r="P76" s="85"/>
      <c r="Q76" s="85"/>
    </row>
    <row r="77" spans="1:18" ht="15" customHeight="1">
      <c r="A77" s="108" t="s">
        <v>139</v>
      </c>
      <c r="B77" s="613" t="s">
        <v>211</v>
      </c>
      <c r="C77" s="614"/>
      <c r="D77" s="78">
        <v>13010972</v>
      </c>
      <c r="E77" s="78">
        <v>2838313</v>
      </c>
      <c r="F77" s="370">
        <v>7000000</v>
      </c>
      <c r="G77" s="388"/>
      <c r="H77" s="382"/>
      <c r="I77" s="85"/>
      <c r="J77" s="85"/>
      <c r="K77" s="85"/>
      <c r="L77" s="85"/>
      <c r="M77" s="85"/>
      <c r="N77" s="85"/>
      <c r="O77" s="85"/>
      <c r="P77" s="85"/>
      <c r="Q77" s="85"/>
      <c r="R77" s="29"/>
    </row>
    <row r="78" spans="1:18" ht="17.25" customHeight="1">
      <c r="A78" s="104">
        <v>24</v>
      </c>
      <c r="B78" s="590" t="s">
        <v>209</v>
      </c>
      <c r="C78" s="611"/>
      <c r="D78" s="84"/>
      <c r="E78" s="84"/>
      <c r="F78" s="369"/>
      <c r="G78" s="388"/>
      <c r="H78" s="382">
        <f aca="true" t="shared" si="11" ref="H78:O78">SUM(H79:H81)</f>
        <v>7316899</v>
      </c>
      <c r="I78" s="85">
        <f t="shared" si="11"/>
        <v>7156453</v>
      </c>
      <c r="J78" s="85">
        <f t="shared" si="11"/>
        <v>6200000</v>
      </c>
      <c r="K78" s="85">
        <f t="shared" si="11"/>
        <v>6300000</v>
      </c>
      <c r="L78" s="85">
        <f t="shared" si="11"/>
        <v>6901170</v>
      </c>
      <c r="M78" s="85">
        <f t="shared" si="11"/>
        <v>6062028</v>
      </c>
      <c r="N78" s="85">
        <f t="shared" si="11"/>
        <v>7850523</v>
      </c>
      <c r="O78" s="85">
        <f t="shared" si="11"/>
        <v>6800000</v>
      </c>
      <c r="P78" s="85">
        <f>SUM(P79:P81)</f>
        <v>5723949</v>
      </c>
      <c r="Q78" s="85">
        <f>SUM(Q79:Q81)</f>
        <v>6500000</v>
      </c>
      <c r="R78" s="362"/>
    </row>
    <row r="79" spans="1:18" ht="15" customHeight="1">
      <c r="A79" s="109" t="s">
        <v>66</v>
      </c>
      <c r="B79" s="610" t="s">
        <v>205</v>
      </c>
      <c r="C79" s="611"/>
      <c r="D79" s="79"/>
      <c r="E79" s="110"/>
      <c r="F79" s="370"/>
      <c r="G79" s="391"/>
      <c r="H79" s="383">
        <f>H30</f>
        <v>3666899</v>
      </c>
      <c r="I79" s="77">
        <f aca="true" t="shared" si="12" ref="I79:O79">I30</f>
        <v>3506453</v>
      </c>
      <c r="J79" s="77">
        <f t="shared" si="12"/>
        <v>2550000</v>
      </c>
      <c r="K79" s="77">
        <f t="shared" si="12"/>
        <v>2550000</v>
      </c>
      <c r="L79" s="77">
        <f t="shared" si="12"/>
        <v>2401170</v>
      </c>
      <c r="M79" s="77">
        <f t="shared" si="12"/>
        <v>62028</v>
      </c>
      <c r="N79" s="77">
        <f t="shared" si="12"/>
        <v>750523</v>
      </c>
      <c r="O79" s="77">
        <f t="shared" si="12"/>
        <v>600000</v>
      </c>
      <c r="P79" s="77">
        <f aca="true" t="shared" si="13" ref="P79:Q81">P30</f>
        <v>423949</v>
      </c>
      <c r="Q79" s="77">
        <f t="shared" si="13"/>
        <v>0</v>
      </c>
      <c r="R79" s="29"/>
    </row>
    <row r="80" spans="1:17" ht="15" customHeight="1">
      <c r="A80" s="109" t="s">
        <v>68</v>
      </c>
      <c r="B80" s="610" t="s">
        <v>210</v>
      </c>
      <c r="C80" s="611"/>
      <c r="D80" s="79"/>
      <c r="E80" s="110"/>
      <c r="F80" s="370"/>
      <c r="G80" s="391"/>
      <c r="H80" s="383">
        <f>H31</f>
        <v>650000</v>
      </c>
      <c r="I80" s="77">
        <f aca="true" t="shared" si="14" ref="I80:O80">I31</f>
        <v>650000</v>
      </c>
      <c r="J80" s="77">
        <f t="shared" si="14"/>
        <v>650000</v>
      </c>
      <c r="K80" s="77">
        <f t="shared" si="14"/>
        <v>750000</v>
      </c>
      <c r="L80" s="77">
        <f t="shared" si="14"/>
        <v>1500000</v>
      </c>
      <c r="M80" s="77">
        <f t="shared" si="14"/>
        <v>1000000</v>
      </c>
      <c r="N80" s="77">
        <f t="shared" si="14"/>
        <v>500000</v>
      </c>
      <c r="O80" s="77">
        <f t="shared" si="14"/>
        <v>500000</v>
      </c>
      <c r="P80" s="77">
        <f t="shared" si="13"/>
        <v>1200000</v>
      </c>
      <c r="Q80" s="77">
        <f t="shared" si="13"/>
        <v>6500000</v>
      </c>
    </row>
    <row r="81" spans="1:17" ht="15" customHeight="1">
      <c r="A81" s="109" t="s">
        <v>76</v>
      </c>
      <c r="B81" s="610" t="s">
        <v>91</v>
      </c>
      <c r="C81" s="611"/>
      <c r="D81" s="79"/>
      <c r="E81" s="110"/>
      <c r="F81" s="370"/>
      <c r="G81" s="391"/>
      <c r="H81" s="383">
        <f>H32</f>
        <v>3000000</v>
      </c>
      <c r="I81" s="77">
        <f aca="true" t="shared" si="15" ref="I81:O81">I32</f>
        <v>3000000</v>
      </c>
      <c r="J81" s="77">
        <f t="shared" si="15"/>
        <v>3000000</v>
      </c>
      <c r="K81" s="77">
        <f t="shared" si="15"/>
        <v>3000000</v>
      </c>
      <c r="L81" s="77">
        <f t="shared" si="15"/>
        <v>3000000</v>
      </c>
      <c r="M81" s="77">
        <f t="shared" si="15"/>
        <v>5000000</v>
      </c>
      <c r="N81" s="77">
        <f t="shared" si="15"/>
        <v>6600000</v>
      </c>
      <c r="O81" s="77">
        <f t="shared" si="15"/>
        <v>5700000</v>
      </c>
      <c r="P81" s="77">
        <f t="shared" si="13"/>
        <v>4100000</v>
      </c>
      <c r="Q81" s="77">
        <f t="shared" si="13"/>
        <v>0</v>
      </c>
    </row>
    <row r="82" spans="1:17" ht="19.5" customHeight="1">
      <c r="A82" s="106">
        <v>25</v>
      </c>
      <c r="B82" s="596" t="s">
        <v>109</v>
      </c>
      <c r="C82" s="597"/>
      <c r="D82" s="85">
        <f>'Prognoza długu'!C46</f>
        <v>28859761</v>
      </c>
      <c r="E82" s="85">
        <f>'Prognoza długu'!D46</f>
        <v>10245475</v>
      </c>
      <c r="F82" s="372">
        <f>'Prognoza długu'!E46</f>
        <v>14027077</v>
      </c>
      <c r="G82" s="388">
        <f>G52+G57</f>
        <v>20904678</v>
      </c>
      <c r="H82" s="382">
        <f aca="true" t="shared" si="16" ref="H82:O82">H52</f>
        <v>0</v>
      </c>
      <c r="I82" s="85">
        <f t="shared" si="16"/>
        <v>0</v>
      </c>
      <c r="J82" s="85">
        <f t="shared" si="16"/>
        <v>0</v>
      </c>
      <c r="K82" s="85">
        <f t="shared" si="16"/>
        <v>0</v>
      </c>
      <c r="L82" s="85">
        <f t="shared" si="16"/>
        <v>0</v>
      </c>
      <c r="M82" s="85">
        <f t="shared" si="16"/>
        <v>0</v>
      </c>
      <c r="N82" s="85">
        <f t="shared" si="16"/>
        <v>0</v>
      </c>
      <c r="O82" s="85">
        <f t="shared" si="16"/>
        <v>0</v>
      </c>
      <c r="P82" s="85">
        <f>P52</f>
        <v>0</v>
      </c>
      <c r="Q82" s="85">
        <f>Q52</f>
        <v>0</v>
      </c>
    </row>
    <row r="83" spans="1:17" ht="19.5" customHeight="1" thickBot="1">
      <c r="A83" s="111">
        <v>26</v>
      </c>
      <c r="B83" s="608" t="s">
        <v>110</v>
      </c>
      <c r="C83" s="609"/>
      <c r="D83" s="112">
        <f aca="true" t="shared" si="17" ref="D83:O83">D29</f>
        <v>3463314</v>
      </c>
      <c r="E83" s="224">
        <f t="shared" si="17"/>
        <v>6940085</v>
      </c>
      <c r="F83" s="375">
        <f t="shared" si="17"/>
        <v>4551585</v>
      </c>
      <c r="G83" s="392">
        <f t="shared" si="17"/>
        <v>6935040</v>
      </c>
      <c r="H83" s="384">
        <f t="shared" si="17"/>
        <v>7316899</v>
      </c>
      <c r="I83" s="112">
        <f t="shared" si="17"/>
        <v>7156453</v>
      </c>
      <c r="J83" s="112">
        <f t="shared" si="17"/>
        <v>6200000</v>
      </c>
      <c r="K83" s="112">
        <f t="shared" si="17"/>
        <v>6300000</v>
      </c>
      <c r="L83" s="112">
        <f t="shared" si="17"/>
        <v>6901170</v>
      </c>
      <c r="M83" s="112">
        <f t="shared" si="17"/>
        <v>6062028</v>
      </c>
      <c r="N83" s="112">
        <f t="shared" si="17"/>
        <v>7850523</v>
      </c>
      <c r="O83" s="112">
        <f t="shared" si="17"/>
        <v>6800000</v>
      </c>
      <c r="P83" s="112">
        <f>P29</f>
        <v>5723949</v>
      </c>
      <c r="Q83" s="112">
        <f>Q29</f>
        <v>6500000</v>
      </c>
    </row>
    <row r="84" spans="1:17" ht="15.75">
      <c r="A84" s="113"/>
      <c r="B84" s="114"/>
      <c r="C84" s="115"/>
      <c r="D84" s="117"/>
      <c r="E84" s="116"/>
      <c r="F84" s="117"/>
      <c r="G84" s="117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>
      <c r="A85" s="74"/>
      <c r="B85" s="74"/>
      <c r="C85" s="71"/>
      <c r="D85" s="73"/>
      <c r="E85" s="72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ht="12.75">
      <c r="A86" s="74"/>
      <c r="B86" s="74"/>
      <c r="C86" s="71"/>
      <c r="D86" s="73"/>
      <c r="E86" s="72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ht="12.75">
      <c r="A87" s="74"/>
      <c r="B87" s="74"/>
      <c r="C87" s="71"/>
      <c r="D87" s="73"/>
      <c r="E87" s="72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4:7" ht="12.75">
      <c r="D88" s="14"/>
      <c r="E88" s="27"/>
      <c r="F88" s="14"/>
      <c r="G88" s="14"/>
    </row>
  </sheetData>
  <sheetProtection/>
  <mergeCells count="84"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  <mergeCell ref="M11:M12"/>
    <mergeCell ref="D9:Q9"/>
    <mergeCell ref="I11:I12"/>
    <mergeCell ref="Q11:Q12"/>
    <mergeCell ref="O11:O12"/>
    <mergeCell ref="K11:K12"/>
    <mergeCell ref="J11:J12"/>
    <mergeCell ref="P11:P12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M50:M51"/>
    <mergeCell ref="K50:K51"/>
    <mergeCell ref="G50:G51"/>
    <mergeCell ref="B70:C70"/>
    <mergeCell ref="B66:C66"/>
    <mergeCell ref="B67:C67"/>
    <mergeCell ref="B64:C64"/>
    <mergeCell ref="I50:I51"/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PageLayoutView="0" workbookViewId="0" topLeftCell="F37">
      <selection activeCell="A1" sqref="A1:P57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52" t="s">
        <v>111</v>
      </c>
      <c r="L1" s="52"/>
      <c r="M1" s="121"/>
      <c r="N1" s="121"/>
      <c r="O1" s="121"/>
      <c r="P1" s="121"/>
    </row>
    <row r="2" spans="1:16" ht="2.2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57"/>
      <c r="L2" s="58"/>
      <c r="M2" s="121"/>
      <c r="N2" s="121"/>
      <c r="O2" s="121"/>
      <c r="P2" s="121"/>
    </row>
    <row r="3" spans="1:16" ht="17.2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62" t="s">
        <v>410</v>
      </c>
      <c r="L3" s="58"/>
      <c r="M3" s="121"/>
      <c r="N3" s="121"/>
      <c r="O3" s="121"/>
      <c r="P3" s="121"/>
    </row>
    <row r="4" spans="1:16" ht="17.2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62" t="s">
        <v>49</v>
      </c>
      <c r="L4" s="58"/>
      <c r="M4" s="121"/>
      <c r="N4" s="121"/>
      <c r="O4" s="121"/>
      <c r="P4" s="121"/>
    </row>
    <row r="5" spans="1:16" ht="17.2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62" t="s">
        <v>409</v>
      </c>
      <c r="L5" s="58"/>
      <c r="M5" s="121"/>
      <c r="N5" s="121"/>
      <c r="O5" s="121"/>
      <c r="P5" s="121"/>
    </row>
    <row r="6" spans="1:16" ht="39.75" customHeight="1" thickBot="1">
      <c r="A6" s="646" t="s">
        <v>406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</row>
    <row r="7" spans="1:16" ht="17.25" customHeight="1" thickBot="1">
      <c r="A7" s="647" t="s">
        <v>112</v>
      </c>
      <c r="B7" s="648" t="s">
        <v>62</v>
      </c>
      <c r="C7" s="617" t="s">
        <v>396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</row>
    <row r="8" spans="1:16" ht="17.25" customHeight="1" thickBot="1">
      <c r="A8" s="647"/>
      <c r="B8" s="648"/>
      <c r="C8" s="617" t="s">
        <v>63</v>
      </c>
      <c r="D8" s="649"/>
      <c r="E8" s="650"/>
      <c r="F8" s="617" t="s">
        <v>64</v>
      </c>
      <c r="G8" s="650"/>
      <c r="H8" s="650"/>
      <c r="I8" s="650"/>
      <c r="J8" s="650"/>
      <c r="K8" s="650"/>
      <c r="L8" s="650"/>
      <c r="M8" s="650"/>
      <c r="N8" s="650"/>
      <c r="O8" s="650"/>
      <c r="P8" s="650"/>
    </row>
    <row r="9" spans="1:16" ht="17.25" customHeight="1" thickBot="1">
      <c r="A9" s="647"/>
      <c r="B9" s="648"/>
      <c r="C9" s="490">
        <v>2009</v>
      </c>
      <c r="D9" s="491">
        <v>2010</v>
      </c>
      <c r="E9" s="490">
        <v>2011</v>
      </c>
      <c r="F9" s="493">
        <v>2012</v>
      </c>
      <c r="G9" s="490">
        <v>2013</v>
      </c>
      <c r="H9" s="490">
        <v>2014</v>
      </c>
      <c r="I9" s="490">
        <v>2015</v>
      </c>
      <c r="J9" s="490">
        <v>2016</v>
      </c>
      <c r="K9" s="490">
        <v>2017</v>
      </c>
      <c r="L9" s="490">
        <v>2018</v>
      </c>
      <c r="M9" s="490">
        <v>2019</v>
      </c>
      <c r="N9" s="490">
        <v>2020</v>
      </c>
      <c r="O9" s="490">
        <v>2021</v>
      </c>
      <c r="P9" s="490">
        <v>2022</v>
      </c>
    </row>
    <row r="10" spans="1:16" ht="20.25" customHeight="1">
      <c r="A10" s="122">
        <v>1</v>
      </c>
      <c r="B10" s="123" t="s">
        <v>113</v>
      </c>
      <c r="C10" s="124">
        <v>45737732</v>
      </c>
      <c r="D10" s="124">
        <f>C10+WPF!E52-WPF!E29</f>
        <v>47797647</v>
      </c>
      <c r="E10" s="349">
        <f>D10+WPF!F52-WPF!F29</f>
        <v>56846062</v>
      </c>
      <c r="F10" s="355">
        <f>E10+WPF!G52-WPF!G29</f>
        <v>66811022</v>
      </c>
      <c r="G10" s="124">
        <f>F10+WPF!H52-WPF!H29</f>
        <v>59494123</v>
      </c>
      <c r="H10" s="124">
        <f>G10+WPF!I52-WPF!I29</f>
        <v>52337670</v>
      </c>
      <c r="I10" s="124">
        <f>H10+WPF!J52-WPF!J29</f>
        <v>46137670</v>
      </c>
      <c r="J10" s="124">
        <f>I10+WPF!K52-WPF!K29</f>
        <v>39837670</v>
      </c>
      <c r="K10" s="124">
        <f>J10+WPF!L52-WPF!L29</f>
        <v>32936500</v>
      </c>
      <c r="L10" s="124">
        <f>K10+WPF!M52-WPF!M29</f>
        <v>26874472</v>
      </c>
      <c r="M10" s="124">
        <f>L10+WPF!N52-WPF!N29</f>
        <v>19023949</v>
      </c>
      <c r="N10" s="124">
        <f>M10+WPF!O52-WPF!O29</f>
        <v>12223949</v>
      </c>
      <c r="O10" s="124">
        <f>N10+WPF!P52-WPF!P29</f>
        <v>6500000</v>
      </c>
      <c r="P10" s="124">
        <f>O10+WPF!Q52-WPF!Q29</f>
        <v>0</v>
      </c>
    </row>
    <row r="11" spans="1:16" ht="33.75" customHeight="1">
      <c r="A11" s="125" t="s">
        <v>66</v>
      </c>
      <c r="B11" s="46" t="s">
        <v>114</v>
      </c>
      <c r="C11" s="44">
        <v>0</v>
      </c>
      <c r="D11" s="44">
        <v>0</v>
      </c>
      <c r="E11" s="350">
        <v>2100000</v>
      </c>
      <c r="F11" s="356">
        <v>2050000</v>
      </c>
      <c r="G11" s="44">
        <v>2000000</v>
      </c>
      <c r="H11" s="44">
        <v>1950000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</row>
    <row r="12" spans="1:19" ht="42" customHeight="1">
      <c r="A12" s="125" t="s">
        <v>68</v>
      </c>
      <c r="B12" s="46" t="s">
        <v>228</v>
      </c>
      <c r="C12" s="44">
        <v>0</v>
      </c>
      <c r="D12" s="44">
        <v>0</v>
      </c>
      <c r="E12" s="350">
        <v>0</v>
      </c>
      <c r="F12" s="356">
        <v>50000</v>
      </c>
      <c r="G12" s="44">
        <v>50000</v>
      </c>
      <c r="H12" s="44">
        <v>50000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S12" s="28"/>
    </row>
    <row r="13" spans="1:16" ht="55.5" customHeight="1">
      <c r="A13" s="125" t="s">
        <v>115</v>
      </c>
      <c r="B13" s="46" t="s">
        <v>116</v>
      </c>
      <c r="C13" s="44">
        <v>0</v>
      </c>
      <c r="D13" s="44">
        <v>0</v>
      </c>
      <c r="E13" s="350">
        <v>0</v>
      </c>
      <c r="F13" s="356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</row>
    <row r="14" spans="1:16" ht="24" customHeight="1">
      <c r="A14" s="125" t="s">
        <v>117</v>
      </c>
      <c r="B14" s="46" t="s">
        <v>118</v>
      </c>
      <c r="C14" s="44">
        <f>WPF!D29</f>
        <v>3463314</v>
      </c>
      <c r="D14" s="44">
        <f>WPF!E29</f>
        <v>6940085</v>
      </c>
      <c r="E14" s="350">
        <f>WPF!F29</f>
        <v>4551585</v>
      </c>
      <c r="F14" s="356">
        <f>WPF!G29</f>
        <v>6935040</v>
      </c>
      <c r="G14" s="44">
        <f>WPF!H29</f>
        <v>7316899</v>
      </c>
      <c r="H14" s="44">
        <f>WPF!I29</f>
        <v>7156453</v>
      </c>
      <c r="I14" s="44">
        <f>WPF!J29</f>
        <v>6200000</v>
      </c>
      <c r="J14" s="44">
        <f>WPF!K29</f>
        <v>6300000</v>
      </c>
      <c r="K14" s="44">
        <f>WPF!L29</f>
        <v>6901170</v>
      </c>
      <c r="L14" s="44">
        <f>WPF!M29</f>
        <v>6062028</v>
      </c>
      <c r="M14" s="44">
        <f>WPF!N29</f>
        <v>7850523</v>
      </c>
      <c r="N14" s="44">
        <f>WPF!O29</f>
        <v>6800000</v>
      </c>
      <c r="O14" s="44">
        <f>WPF!P29</f>
        <v>5723949</v>
      </c>
      <c r="P14" s="44">
        <f>WPF!Q29</f>
        <v>6500000</v>
      </c>
    </row>
    <row r="15" spans="1:16" ht="24" customHeight="1">
      <c r="A15" s="126" t="s">
        <v>119</v>
      </c>
      <c r="B15" s="127" t="s">
        <v>120</v>
      </c>
      <c r="C15" s="128"/>
      <c r="D15" s="129">
        <v>0.1911</v>
      </c>
      <c r="E15" s="353">
        <v>0.1292</v>
      </c>
      <c r="F15" s="357">
        <v>0.0951</v>
      </c>
      <c r="G15" s="129">
        <v>0.168</v>
      </c>
      <c r="H15" s="129">
        <v>0.2426</v>
      </c>
      <c r="I15" s="129">
        <f>1/3*((WPF!G14+WPF!G16-'Prognoza długu'!F25)/WPF!G13+(WPF!H14+WPF!H16-'Prognoza długu'!G25)/WPF!H13+(WPF!I14+WPF!I16-'Prognoza długu'!H25)/WPF!I13)</f>
        <v>0.29664510192194304</v>
      </c>
      <c r="J15" s="129">
        <f>1/3*((WPF!H14+WPF!H16-'Prognoza długu'!G25)/WPF!H13+(WPF!I14+WPF!I16-'Prognoza długu'!H25)/WPF!I13+(WPF!J14+WPF!J16-'Prognoza długu'!I25)/WPF!J13)</f>
        <v>0.28132474347433584</v>
      </c>
      <c r="K15" s="129">
        <f>1/3*((WPF!I14+WPF!I16-'Prognoza długu'!H25)/WPF!I13+(WPF!J14+WPF!J16-'Prognoza długu'!I25)/WPF!J13+(WPF!K14+WPF!K16-'Prognoza długu'!J25)/WPF!K13)</f>
        <v>0.24732870979127175</v>
      </c>
      <c r="L15" s="129">
        <f>1/3*((WPF!J14+WPF!J16-'Prognoza długu'!I25)/WPF!J13+(WPF!K14+WPF!K16-'Prognoza długu'!J25)/WPF!K13+(WPF!L14+WPF!L16-'Prognoza długu'!K25)/WPF!L13)</f>
        <v>0.22622952818544154</v>
      </c>
      <c r="M15" s="129">
        <f>1/3*((WPF!K14+WPF!K16-'Prognoza długu'!J25)/WPF!K13+(WPF!L14+WPF!L16-'Prognoza długu'!K25)/WPF!L13+(WPF!M14+WPF!M16-'Prognoza długu'!L25)/WPF!M13)</f>
        <v>0.20601513420253065</v>
      </c>
      <c r="N15" s="129">
        <f>1/3*((WPF!L14+WPF!L16-'Prognoza długu'!K25)/WPF!L13+(WPF!M14+WPF!M16-'Prognoza długu'!L25)/WPF!M13+(WPF!N14+WPF!N16-'Prognoza długu'!M25)/WPF!N13)</f>
        <v>0.21917322360843822</v>
      </c>
      <c r="O15" s="129">
        <f>1/3*((WPF!L14+WPF!L16-'Prognoza długu'!K25)/WPF!L13+(WPF!M14+WPF!M16-'Prognoza długu'!L25)/WPF!M13+(WPF!N14+WPF!N16-'Prognoza długu'!M25)/WPF!N13)</f>
        <v>0.21917322360843822</v>
      </c>
      <c r="P15" s="129">
        <f>1/3*((WPF!M14+WPF!M16-'Prognoza długu'!L25)/WPF!M13+(WPF!N14+WPF!N16-'Prognoza długu'!M25)/WPF!N13+(WPF!O14+WPF!O16-'Prognoza długu'!N25)/WPF!O13)</f>
        <v>0.2257307615357908</v>
      </c>
    </row>
    <row r="16" spans="1:16" ht="30.75" customHeight="1">
      <c r="A16" s="126" t="s">
        <v>121</v>
      </c>
      <c r="B16" s="127" t="s">
        <v>122</v>
      </c>
      <c r="C16" s="128" t="s">
        <v>81</v>
      </c>
      <c r="D16" s="129">
        <f>(WPF!E33+WPF!E29)/WPF!E13</f>
        <v>0.10653694792951553</v>
      </c>
      <c r="E16" s="353">
        <f>(WPF!F33+WPF!F29)/WPF!F13</f>
        <v>0.06023511077561799</v>
      </c>
      <c r="F16" s="357">
        <f>(WPF!G33+WPF!G29)/WPF!G13</f>
        <v>0.058744412290410296</v>
      </c>
      <c r="G16" s="129">
        <f>(WPF!H33+WPF!H29)/WPF!H13</f>
        <v>0.06697025705270128</v>
      </c>
      <c r="H16" s="129">
        <f>(WPF!I33+WPF!I29)/WPF!I13</f>
        <v>0.08977341005480777</v>
      </c>
      <c r="I16" s="129">
        <f>(WPF!J33+WPF!J29)/WPF!J13</f>
        <v>0.07192021287432172</v>
      </c>
      <c r="J16" s="129">
        <f>(WPF!K33+WPF!K29)/WPF!K13</f>
        <v>0.07309925343696257</v>
      </c>
      <c r="K16" s="129">
        <f>(WPF!L33+WPF!L29)/WPF!L13</f>
        <v>0.07312729586366981</v>
      </c>
      <c r="L16" s="129">
        <f>(WPF!M33+WPF!M29)/WPF!M13</f>
        <v>0.060571945214944335</v>
      </c>
      <c r="M16" s="129">
        <f>(WPF!N33+WPF!N29)/WPF!N13</f>
        <v>0.06776487525536011</v>
      </c>
      <c r="N16" s="129">
        <f>(WPF!O33+WPF!O29)/WPF!O13</f>
        <v>0.05506632642670413</v>
      </c>
      <c r="O16" s="129">
        <f>(WPF!P33+WPF!P29)/WPF!P13</f>
        <v>0.04382255473443259</v>
      </c>
      <c r="P16" s="129">
        <f>(WPF!Q33+WPF!Q29)/WPF!Q13</f>
        <v>0.045196040157560374</v>
      </c>
    </row>
    <row r="17" spans="1:16" ht="35.25" customHeight="1">
      <c r="A17" s="126" t="s">
        <v>123</v>
      </c>
      <c r="B17" s="130" t="s">
        <v>124</v>
      </c>
      <c r="C17" s="128"/>
      <c r="D17" s="129">
        <f>D15-D16</f>
        <v>0.08456305207048447</v>
      </c>
      <c r="E17" s="353">
        <f aca="true" t="shared" si="0" ref="E17:N17">E15-E16</f>
        <v>0.06896488922438201</v>
      </c>
      <c r="F17" s="357">
        <f t="shared" si="0"/>
        <v>0.03635558770958971</v>
      </c>
      <c r="G17" s="129">
        <f t="shared" si="0"/>
        <v>0.10102974294729873</v>
      </c>
      <c r="H17" s="129">
        <f t="shared" si="0"/>
        <v>0.15282658994519224</v>
      </c>
      <c r="I17" s="129">
        <f t="shared" si="0"/>
        <v>0.22472488904762133</v>
      </c>
      <c r="J17" s="129">
        <f t="shared" si="0"/>
        <v>0.20822549003737328</v>
      </c>
      <c r="K17" s="129">
        <f t="shared" si="0"/>
        <v>0.17420141392760194</v>
      </c>
      <c r="L17" s="129">
        <f t="shared" si="0"/>
        <v>0.1656575829704972</v>
      </c>
      <c r="M17" s="129">
        <f t="shared" si="0"/>
        <v>0.13825025894717052</v>
      </c>
      <c r="N17" s="129">
        <f t="shared" si="0"/>
        <v>0.1641068971817341</v>
      </c>
      <c r="O17" s="129">
        <f>O15-O16</f>
        <v>0.17535066887400563</v>
      </c>
      <c r="P17" s="129">
        <f>P15-P16</f>
        <v>0.18053472137823043</v>
      </c>
    </row>
    <row r="18" spans="1:16" ht="30" customHeight="1">
      <c r="A18" s="125" t="s">
        <v>125</v>
      </c>
      <c r="B18" s="46" t="s">
        <v>126</v>
      </c>
      <c r="C18" s="131">
        <f>WPF!D28/WPF!D13%</f>
        <v>5.510659630018438</v>
      </c>
      <c r="D18" s="131">
        <f>WPF!E28/WPF!E13%</f>
        <v>10.653694792951551</v>
      </c>
      <c r="E18" s="351">
        <f>WPF!F28/WPF!F13%</f>
        <v>6.0235110775618</v>
      </c>
      <c r="F18" s="358">
        <f>WPF!G28/WPF!G13%</f>
        <v>5.87444122904103</v>
      </c>
      <c r="G18" s="131">
        <f>WPF!H28/WPF!H13%</f>
        <v>6.697025705270128</v>
      </c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29.25" customHeight="1">
      <c r="A19" s="125" t="s">
        <v>127</v>
      </c>
      <c r="B19" s="46" t="s">
        <v>128</v>
      </c>
      <c r="C19" s="131">
        <f>C10/WPF!D13%</f>
        <v>55.982746471274986</v>
      </c>
      <c r="D19" s="131">
        <f>D10/WPF!E13%</f>
        <v>56.16915056018265</v>
      </c>
      <c r="E19" s="351">
        <f>E10/WPF!F13%</f>
        <v>49.7435679254916</v>
      </c>
      <c r="F19" s="358">
        <f>F10/WPF!G13%</f>
        <v>40.819581857711626</v>
      </c>
      <c r="G19" s="131">
        <f>G10/WPF!H13%</f>
        <v>35.62184695679354</v>
      </c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7.25" customHeight="1">
      <c r="A20" s="67" t="s">
        <v>129</v>
      </c>
      <c r="B20" s="132" t="s">
        <v>130</v>
      </c>
      <c r="C20" s="47">
        <f aca="true" t="shared" si="1" ref="C20:N20">C21+C22</f>
        <v>81699693</v>
      </c>
      <c r="D20" s="47">
        <f t="shared" si="1"/>
        <v>85095905</v>
      </c>
      <c r="E20" s="352">
        <f t="shared" si="1"/>
        <v>114278216</v>
      </c>
      <c r="F20" s="359">
        <f>F21+F22</f>
        <v>163673950</v>
      </c>
      <c r="G20" s="47">
        <f t="shared" si="1"/>
        <v>167015829</v>
      </c>
      <c r="H20" s="47">
        <f t="shared" si="1"/>
        <v>118126336</v>
      </c>
      <c r="I20" s="47">
        <f t="shared" si="1"/>
        <v>130175588</v>
      </c>
      <c r="J20" s="133">
        <f t="shared" si="1"/>
        <v>125586180</v>
      </c>
      <c r="K20" s="47">
        <f t="shared" si="1"/>
        <v>129860716</v>
      </c>
      <c r="L20" s="47">
        <f t="shared" si="1"/>
        <v>136174581</v>
      </c>
      <c r="M20" s="47">
        <f t="shared" si="1"/>
        <v>140750256</v>
      </c>
      <c r="N20" s="47">
        <f t="shared" si="1"/>
        <v>144603825</v>
      </c>
      <c r="O20" s="47">
        <f>O21+O22</f>
        <v>146658641</v>
      </c>
      <c r="P20" s="47">
        <f>P21+P22</f>
        <v>148657935</v>
      </c>
    </row>
    <row r="21" spans="1:16" ht="16.5" customHeight="1">
      <c r="A21" s="125" t="s">
        <v>66</v>
      </c>
      <c r="B21" s="46" t="s">
        <v>131</v>
      </c>
      <c r="C21" s="44">
        <f>WPF!D14</f>
        <v>80665439</v>
      </c>
      <c r="D21" s="44">
        <f>WPF!E14</f>
        <v>84339995</v>
      </c>
      <c r="E21" s="350">
        <f>WPF!F14</f>
        <v>98522397</v>
      </c>
      <c r="F21" s="356">
        <f>WPF!G14</f>
        <v>105387362</v>
      </c>
      <c r="G21" s="44">
        <f>WPF!H14</f>
        <v>109753328</v>
      </c>
      <c r="H21" s="44">
        <f>WPF!I14</f>
        <v>118126336</v>
      </c>
      <c r="I21" s="44">
        <f>WPF!J14</f>
        <v>121175588</v>
      </c>
      <c r="J21" s="134">
        <f>WPF!K14</f>
        <v>125586180</v>
      </c>
      <c r="K21" s="44">
        <f>WPF!L14</f>
        <v>129860716</v>
      </c>
      <c r="L21" s="44">
        <f>WPF!M14</f>
        <v>136174581</v>
      </c>
      <c r="M21" s="44">
        <f>WPF!N14</f>
        <v>140750256</v>
      </c>
      <c r="N21" s="44">
        <f>WPF!O14</f>
        <v>144603825</v>
      </c>
      <c r="O21" s="44">
        <f>WPF!P14</f>
        <v>146658641</v>
      </c>
      <c r="P21" s="44">
        <f>WPF!Q14</f>
        <v>148657935</v>
      </c>
    </row>
    <row r="22" spans="1:16" ht="16.5" customHeight="1">
      <c r="A22" s="125" t="s">
        <v>68</v>
      </c>
      <c r="B22" s="46" t="s">
        <v>69</v>
      </c>
      <c r="C22" s="44">
        <f>WPF!D15</f>
        <v>1034254</v>
      </c>
      <c r="D22" s="44">
        <f>WPF!E15</f>
        <v>755910</v>
      </c>
      <c r="E22" s="350">
        <f>WPF!F15</f>
        <v>15755819</v>
      </c>
      <c r="F22" s="356">
        <f>WPF!G15</f>
        <v>58286588</v>
      </c>
      <c r="G22" s="44">
        <f>WPF!H15</f>
        <v>57262501</v>
      </c>
      <c r="H22" s="44">
        <f>WPF!I15</f>
        <v>0</v>
      </c>
      <c r="I22" s="44">
        <f>WPF!J15</f>
        <v>9000000</v>
      </c>
      <c r="J22" s="44">
        <f>WPF!K15</f>
        <v>0</v>
      </c>
      <c r="K22" s="44">
        <f>WPF!L15</f>
        <v>0</v>
      </c>
      <c r="L22" s="44">
        <f>WPF!M15</f>
        <v>0</v>
      </c>
      <c r="M22" s="44">
        <f>WPF!N15</f>
        <v>0</v>
      </c>
      <c r="N22" s="44">
        <f>WPF!O15</f>
        <v>0</v>
      </c>
      <c r="O22" s="44">
        <f>WPF!P15</f>
        <v>0</v>
      </c>
      <c r="P22" s="44">
        <f>WPF!Q15</f>
        <v>0</v>
      </c>
    </row>
    <row r="23" spans="1:16" ht="16.5" customHeight="1">
      <c r="A23" s="125" t="s">
        <v>70</v>
      </c>
      <c r="B23" s="46" t="s">
        <v>72</v>
      </c>
      <c r="C23" s="44">
        <f>WPF!D16</f>
        <v>197354</v>
      </c>
      <c r="D23" s="44">
        <f>WPF!E16</f>
        <v>255910</v>
      </c>
      <c r="E23" s="350">
        <f>WPF!F16</f>
        <v>13500000</v>
      </c>
      <c r="F23" s="356">
        <f>WPF!G16</f>
        <v>52000000</v>
      </c>
      <c r="G23" s="44">
        <f>WPF!H16</f>
        <v>26150000</v>
      </c>
      <c r="H23" s="44">
        <f>WPF!I16</f>
        <v>0</v>
      </c>
      <c r="I23" s="44">
        <f>WPF!J16</f>
        <v>0</v>
      </c>
      <c r="J23" s="44">
        <f>WPF!K16</f>
        <v>0</v>
      </c>
      <c r="K23" s="44">
        <f>WPF!L16</f>
        <v>0</v>
      </c>
      <c r="L23" s="44">
        <f>WPF!M16</f>
        <v>0</v>
      </c>
      <c r="M23" s="44">
        <f>WPF!N16</f>
        <v>0</v>
      </c>
      <c r="N23" s="44">
        <f>WPF!O16</f>
        <v>0</v>
      </c>
      <c r="O23" s="44">
        <f>WPF!P16</f>
        <v>0</v>
      </c>
      <c r="P23" s="44">
        <f>WPF!Q16</f>
        <v>0</v>
      </c>
    </row>
    <row r="24" spans="1:16" ht="16.5" customHeight="1">
      <c r="A24" s="67" t="s">
        <v>132</v>
      </c>
      <c r="B24" s="132" t="s">
        <v>133</v>
      </c>
      <c r="C24" s="47">
        <f>C25+C26</f>
        <v>105850665</v>
      </c>
      <c r="D24" s="47">
        <f>D25+D26</f>
        <v>87934218</v>
      </c>
      <c r="E24" s="352">
        <f>E25+E26</f>
        <v>123753708</v>
      </c>
      <c r="F24" s="359">
        <f>F25+F26</f>
        <v>177643588</v>
      </c>
      <c r="G24" s="47">
        <f>G25+G26</f>
        <v>159698930</v>
      </c>
      <c r="H24" s="47">
        <f aca="true" t="shared" si="2" ref="H24:P24">H25+H26</f>
        <v>110969883</v>
      </c>
      <c r="I24" s="47">
        <f t="shared" si="2"/>
        <v>123975588</v>
      </c>
      <c r="J24" s="47">
        <f t="shared" si="2"/>
        <v>119286180</v>
      </c>
      <c r="K24" s="47">
        <f t="shared" si="2"/>
        <v>122959546</v>
      </c>
      <c r="L24" s="47">
        <f t="shared" si="2"/>
        <v>130112553.26</v>
      </c>
      <c r="M24" s="47">
        <f t="shared" si="2"/>
        <v>132899732.54</v>
      </c>
      <c r="N24" s="47">
        <f t="shared" si="2"/>
        <v>137803825.43</v>
      </c>
      <c r="O24" s="47">
        <f>O25+O26</f>
        <v>140934692.3225</v>
      </c>
      <c r="P24" s="47">
        <f t="shared" si="2"/>
        <v>142157935</v>
      </c>
    </row>
    <row r="25" spans="1:16" ht="17.25" customHeight="1">
      <c r="A25" s="125" t="s">
        <v>66</v>
      </c>
      <c r="B25" s="46" t="s">
        <v>134</v>
      </c>
      <c r="C25" s="44">
        <f>WPF!D17+WPF!D33</f>
        <v>72590083</v>
      </c>
      <c r="D25" s="44">
        <f>WPF!E17+WPF!E33</f>
        <v>78155472</v>
      </c>
      <c r="E25" s="350">
        <f>WPF!F17+WPF!F33</f>
        <v>90332223</v>
      </c>
      <c r="F25" s="356">
        <f>WPF!G17+WPF!G33</f>
        <v>105008150</v>
      </c>
      <c r="G25" s="44">
        <f>WPF!H17+WPF!H33</f>
        <v>85888424</v>
      </c>
      <c r="H25" s="44">
        <f>WPF!I17+WPF!I33</f>
        <v>86178883</v>
      </c>
      <c r="I25" s="44">
        <f>WPF!J17+WPF!J33</f>
        <v>85499588</v>
      </c>
      <c r="J25" s="44">
        <f>WPF!K17+WPF!K33</f>
        <v>100786180</v>
      </c>
      <c r="K25" s="44">
        <f>WPF!L17+WPF!L33</f>
        <v>102959546</v>
      </c>
      <c r="L25" s="44">
        <f>WPF!M17+WPF!M33</f>
        <v>107112553.26</v>
      </c>
      <c r="M25" s="44">
        <f>WPF!N17+WPF!N33</f>
        <v>107399732.54</v>
      </c>
      <c r="N25" s="44">
        <f>WPF!O17+WPF!O33</f>
        <v>111803825.43</v>
      </c>
      <c r="O25" s="44">
        <f>WPF!P17+WPF!P33</f>
        <v>112934692.3225</v>
      </c>
      <c r="P25" s="44">
        <f>WPF!Q17+WPF!Q33</f>
        <v>114157935</v>
      </c>
    </row>
    <row r="26" spans="1:16" ht="17.25" customHeight="1">
      <c r="A26" s="125" t="s">
        <v>68</v>
      </c>
      <c r="B26" s="46" t="s">
        <v>135</v>
      </c>
      <c r="C26" s="44">
        <f>WPF!D36</f>
        <v>33260582</v>
      </c>
      <c r="D26" s="44">
        <f>WPF!E36</f>
        <v>9778746</v>
      </c>
      <c r="E26" s="350">
        <f>WPF!F36</f>
        <v>33421485</v>
      </c>
      <c r="F26" s="356">
        <f>WPF!G36</f>
        <v>72635438</v>
      </c>
      <c r="G26" s="44">
        <f>WPF!H36</f>
        <v>73810506</v>
      </c>
      <c r="H26" s="44">
        <f>WPF!I36</f>
        <v>24791000</v>
      </c>
      <c r="I26" s="44">
        <f>WPF!J36</f>
        <v>38476000</v>
      </c>
      <c r="J26" s="44">
        <f>WPF!K36</f>
        <v>18500000</v>
      </c>
      <c r="K26" s="44">
        <f>WPF!L36</f>
        <v>20000000</v>
      </c>
      <c r="L26" s="44">
        <f>WPF!M36</f>
        <v>23000000</v>
      </c>
      <c r="M26" s="44">
        <f>WPF!N36</f>
        <v>25500000</v>
      </c>
      <c r="N26" s="44">
        <f>WPF!O36</f>
        <v>26000000</v>
      </c>
      <c r="O26" s="44">
        <f>WPF!P36</f>
        <v>28000000</v>
      </c>
      <c r="P26" s="44">
        <f>WPF!Q36</f>
        <v>28000000</v>
      </c>
    </row>
    <row r="27" spans="1:16" ht="31.5" customHeight="1">
      <c r="A27" s="67" t="s">
        <v>136</v>
      </c>
      <c r="B27" s="132" t="s">
        <v>137</v>
      </c>
      <c r="C27" s="47">
        <f>C20-C24</f>
        <v>-24150972</v>
      </c>
      <c r="D27" s="47">
        <f>D20-D24</f>
        <v>-2838313</v>
      </c>
      <c r="E27" s="352">
        <f>E20-E24</f>
        <v>-9475492</v>
      </c>
      <c r="F27" s="359">
        <f>F20-F24</f>
        <v>-13969638</v>
      </c>
      <c r="G27" s="47">
        <f>G20-G24</f>
        <v>7316899</v>
      </c>
      <c r="H27" s="47">
        <f aca="true" t="shared" si="3" ref="H27:P27">H20-H24</f>
        <v>7156453</v>
      </c>
      <c r="I27" s="47">
        <f t="shared" si="3"/>
        <v>6200000</v>
      </c>
      <c r="J27" s="47">
        <f t="shared" si="3"/>
        <v>6300000</v>
      </c>
      <c r="K27" s="47">
        <f t="shared" si="3"/>
        <v>6901170</v>
      </c>
      <c r="L27" s="47">
        <f t="shared" si="3"/>
        <v>6062027.739999995</v>
      </c>
      <c r="M27" s="47">
        <f t="shared" si="3"/>
        <v>7850523.459999993</v>
      </c>
      <c r="N27" s="47">
        <f t="shared" si="3"/>
        <v>6799999.569999993</v>
      </c>
      <c r="O27" s="47">
        <f>O20-O24</f>
        <v>5723948.67750001</v>
      </c>
      <c r="P27" s="47">
        <f t="shared" si="3"/>
        <v>6500000</v>
      </c>
    </row>
    <row r="28" spans="1:16" ht="15.75" customHeight="1">
      <c r="A28" s="67" t="s">
        <v>138</v>
      </c>
      <c r="B28" s="132" t="s">
        <v>208</v>
      </c>
      <c r="C28" s="47">
        <f>SUM(C29:C33)</f>
        <v>24150972</v>
      </c>
      <c r="D28" s="47">
        <f>SUM(D29:D33)</f>
        <v>2838313</v>
      </c>
      <c r="E28" s="352">
        <f>SUM(E29:E33)</f>
        <v>9475492</v>
      </c>
      <c r="F28" s="359">
        <f>SUM(F29:F33)</f>
        <v>13969638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 customHeight="1">
      <c r="A29" s="68" t="s">
        <v>66</v>
      </c>
      <c r="B29" s="49" t="s">
        <v>89</v>
      </c>
      <c r="C29" s="44">
        <v>6330000</v>
      </c>
      <c r="D29" s="44"/>
      <c r="E29" s="350">
        <v>2100000</v>
      </c>
      <c r="F29" s="359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 customHeight="1">
      <c r="A30" s="68" t="s">
        <v>68</v>
      </c>
      <c r="B30" s="49" t="s">
        <v>90</v>
      </c>
      <c r="C30" s="44">
        <v>4810000</v>
      </c>
      <c r="D30" s="44"/>
      <c r="E30" s="350"/>
      <c r="F30" s="359">
        <v>10000000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 customHeight="1">
      <c r="A31" s="68" t="s">
        <v>76</v>
      </c>
      <c r="B31" s="49" t="s">
        <v>206</v>
      </c>
      <c r="C31" s="44"/>
      <c r="D31" s="44"/>
      <c r="E31" s="350"/>
      <c r="F31" s="359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57" customHeight="1">
      <c r="A32" s="68" t="s">
        <v>79</v>
      </c>
      <c r="B32" s="65" t="s">
        <v>98</v>
      </c>
      <c r="C32" s="44"/>
      <c r="D32" s="44"/>
      <c r="E32" s="350">
        <v>375492</v>
      </c>
      <c r="F32" s="359">
        <v>3969638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.75" customHeight="1">
      <c r="A33" s="68" t="s">
        <v>139</v>
      </c>
      <c r="B33" s="49" t="s">
        <v>97</v>
      </c>
      <c r="C33" s="44">
        <v>13010972</v>
      </c>
      <c r="D33" s="44">
        <v>2838313</v>
      </c>
      <c r="E33" s="350">
        <v>7000000</v>
      </c>
      <c r="F33" s="359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 customHeight="1">
      <c r="A34" s="210"/>
      <c r="B34" s="211"/>
      <c r="C34" s="212"/>
      <c r="D34" s="212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ht="30" customHeight="1">
      <c r="A35" s="214"/>
      <c r="B35" s="215"/>
      <c r="C35" s="216"/>
      <c r="D35" s="216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1:16" ht="30.75" customHeight="1">
      <c r="A36" s="214"/>
      <c r="B36" s="215"/>
      <c r="C36" s="216"/>
      <c r="D36" s="216"/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1:16" ht="15.75" customHeight="1">
      <c r="A37" s="214"/>
      <c r="B37" s="215"/>
      <c r="C37" s="216"/>
      <c r="D37" s="216"/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16" ht="15.75" customHeight="1" thickBot="1">
      <c r="A38" s="214"/>
      <c r="B38" s="215"/>
      <c r="C38" s="216"/>
      <c r="D38" s="216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1:16" ht="15.75" customHeight="1" thickBot="1">
      <c r="A39" s="647" t="s">
        <v>112</v>
      </c>
      <c r="B39" s="651" t="s">
        <v>62</v>
      </c>
      <c r="C39" s="584" t="s">
        <v>396</v>
      </c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4"/>
    </row>
    <row r="40" spans="1:16" ht="15.75" customHeight="1" thickBot="1">
      <c r="A40" s="647"/>
      <c r="B40" s="648"/>
      <c r="C40" s="617" t="s">
        <v>63</v>
      </c>
      <c r="D40" s="649"/>
      <c r="E40" s="650"/>
      <c r="F40" s="617" t="s">
        <v>64</v>
      </c>
      <c r="G40" s="650"/>
      <c r="H40" s="650"/>
      <c r="I40" s="650"/>
      <c r="J40" s="650"/>
      <c r="K40" s="650"/>
      <c r="L40" s="650"/>
      <c r="M40" s="650"/>
      <c r="N40" s="650"/>
      <c r="O40" s="650"/>
      <c r="P40" s="650"/>
    </row>
    <row r="41" spans="1:16" ht="15.75" customHeight="1" thickBot="1">
      <c r="A41" s="647"/>
      <c r="B41" s="648"/>
      <c r="C41" s="490">
        <v>2009</v>
      </c>
      <c r="D41" s="491">
        <v>2010</v>
      </c>
      <c r="E41" s="492">
        <v>2011</v>
      </c>
      <c r="F41" s="493">
        <v>2012</v>
      </c>
      <c r="G41" s="490">
        <v>2013</v>
      </c>
      <c r="H41" s="490">
        <v>2014</v>
      </c>
      <c r="I41" s="490">
        <v>2015</v>
      </c>
      <c r="J41" s="490">
        <v>2016</v>
      </c>
      <c r="K41" s="490">
        <v>2017</v>
      </c>
      <c r="L41" s="490">
        <v>2018</v>
      </c>
      <c r="M41" s="490">
        <v>2019</v>
      </c>
      <c r="N41" s="490">
        <v>2020</v>
      </c>
      <c r="O41" s="490">
        <v>2021</v>
      </c>
      <c r="P41" s="490">
        <v>2022</v>
      </c>
    </row>
    <row r="42" spans="1:16" ht="14.25" customHeight="1">
      <c r="A42" s="67" t="s">
        <v>140</v>
      </c>
      <c r="B42" s="132" t="s">
        <v>209</v>
      </c>
      <c r="C42" s="47"/>
      <c r="D42" s="47"/>
      <c r="E42" s="352"/>
      <c r="F42" s="359"/>
      <c r="G42" s="47">
        <f aca="true" t="shared" si="4" ref="G42:N42">SUM(G43:G45)</f>
        <v>7316899</v>
      </c>
      <c r="H42" s="47">
        <f t="shared" si="4"/>
        <v>7156453</v>
      </c>
      <c r="I42" s="47">
        <f t="shared" si="4"/>
        <v>6200000</v>
      </c>
      <c r="J42" s="47">
        <f t="shared" si="4"/>
        <v>6300000</v>
      </c>
      <c r="K42" s="47">
        <f t="shared" si="4"/>
        <v>6901170</v>
      </c>
      <c r="L42" s="47">
        <f t="shared" si="4"/>
        <v>6062028</v>
      </c>
      <c r="M42" s="47">
        <f t="shared" si="4"/>
        <v>7850523</v>
      </c>
      <c r="N42" s="47">
        <f t="shared" si="4"/>
        <v>6800000</v>
      </c>
      <c r="O42" s="47">
        <f>SUM(O43:O45)</f>
        <v>5723949</v>
      </c>
      <c r="P42" s="47">
        <f>SUM(P43:P45)</f>
        <v>6500000</v>
      </c>
    </row>
    <row r="43" spans="1:16" ht="14.25" customHeight="1">
      <c r="A43" s="69" t="s">
        <v>66</v>
      </c>
      <c r="B43" s="49" t="s">
        <v>205</v>
      </c>
      <c r="C43" s="45"/>
      <c r="D43" s="70"/>
      <c r="E43" s="350"/>
      <c r="F43" s="356"/>
      <c r="G43" s="45">
        <f aca="true" t="shared" si="5" ref="G43:N43">G53</f>
        <v>3666899</v>
      </c>
      <c r="H43" s="45">
        <f t="shared" si="5"/>
        <v>3506453</v>
      </c>
      <c r="I43" s="45">
        <f t="shared" si="5"/>
        <v>2550000</v>
      </c>
      <c r="J43" s="45">
        <f>J53</f>
        <v>2550000</v>
      </c>
      <c r="K43" s="45">
        <f t="shared" si="5"/>
        <v>2401170</v>
      </c>
      <c r="L43" s="45">
        <f t="shared" si="5"/>
        <v>62028</v>
      </c>
      <c r="M43" s="45">
        <f t="shared" si="5"/>
        <v>750523</v>
      </c>
      <c r="N43" s="45">
        <f t="shared" si="5"/>
        <v>600000</v>
      </c>
      <c r="O43" s="45">
        <f aca="true" t="shared" si="6" ref="O43:P45">O53</f>
        <v>423949</v>
      </c>
      <c r="P43" s="45">
        <f t="shared" si="6"/>
        <v>0</v>
      </c>
    </row>
    <row r="44" spans="1:16" ht="14.25" customHeight="1">
      <c r="A44" s="69" t="s">
        <v>68</v>
      </c>
      <c r="B44" s="49" t="s">
        <v>210</v>
      </c>
      <c r="C44" s="45"/>
      <c r="D44" s="70"/>
      <c r="E44" s="350"/>
      <c r="F44" s="356"/>
      <c r="G44" s="45">
        <f aca="true" t="shared" si="7" ref="G44:N44">G54</f>
        <v>650000</v>
      </c>
      <c r="H44" s="45">
        <f t="shared" si="7"/>
        <v>650000</v>
      </c>
      <c r="I44" s="45">
        <f t="shared" si="7"/>
        <v>650000</v>
      </c>
      <c r="J44" s="45">
        <f t="shared" si="7"/>
        <v>750000</v>
      </c>
      <c r="K44" s="45">
        <f t="shared" si="7"/>
        <v>1500000</v>
      </c>
      <c r="L44" s="45">
        <f t="shared" si="7"/>
        <v>1000000</v>
      </c>
      <c r="M44" s="45">
        <f t="shared" si="7"/>
        <v>500000</v>
      </c>
      <c r="N44" s="45">
        <f t="shared" si="7"/>
        <v>500000</v>
      </c>
      <c r="O44" s="45">
        <f t="shared" si="6"/>
        <v>1200000</v>
      </c>
      <c r="P44" s="45">
        <f t="shared" si="6"/>
        <v>6500000</v>
      </c>
    </row>
    <row r="45" spans="1:16" ht="15" customHeight="1">
      <c r="A45" s="69" t="s">
        <v>76</v>
      </c>
      <c r="B45" s="49" t="s">
        <v>91</v>
      </c>
      <c r="C45" s="45"/>
      <c r="D45" s="70"/>
      <c r="E45" s="350"/>
      <c r="F45" s="356"/>
      <c r="G45" s="45">
        <f aca="true" t="shared" si="8" ref="G45:N45">G55</f>
        <v>3000000</v>
      </c>
      <c r="H45" s="45">
        <f t="shared" si="8"/>
        <v>3000000</v>
      </c>
      <c r="I45" s="45">
        <f t="shared" si="8"/>
        <v>3000000</v>
      </c>
      <c r="J45" s="45">
        <f t="shared" si="8"/>
        <v>3000000</v>
      </c>
      <c r="K45" s="45">
        <f t="shared" si="8"/>
        <v>3000000</v>
      </c>
      <c r="L45" s="45">
        <f t="shared" si="8"/>
        <v>5000000</v>
      </c>
      <c r="M45" s="45">
        <f t="shared" si="8"/>
        <v>6600000</v>
      </c>
      <c r="N45" s="45">
        <f t="shared" si="8"/>
        <v>5700000</v>
      </c>
      <c r="O45" s="45">
        <f t="shared" si="6"/>
        <v>4100000</v>
      </c>
      <c r="P45" s="45">
        <f t="shared" si="6"/>
        <v>0</v>
      </c>
    </row>
    <row r="46" spans="1:16" ht="15.75" customHeight="1">
      <c r="A46" s="67" t="s">
        <v>141</v>
      </c>
      <c r="B46" s="132" t="s">
        <v>109</v>
      </c>
      <c r="C46" s="47">
        <f>WPF!D24+WPF!D52</f>
        <v>28859761</v>
      </c>
      <c r="D46" s="47">
        <f>WPF!E24+WPF!E52</f>
        <v>10245475</v>
      </c>
      <c r="E46" s="352">
        <f>WPF!F24+WPF!F52</f>
        <v>14027077</v>
      </c>
      <c r="F46" s="359">
        <f>F49+F50+F48</f>
        <v>20904678</v>
      </c>
      <c r="G46" s="47">
        <f>WPF!H24+WPF!H52</f>
        <v>0</v>
      </c>
      <c r="H46" s="47">
        <f>WPF!I24+WPF!I52</f>
        <v>0</v>
      </c>
      <c r="I46" s="47">
        <f>WPF!J24+WPF!J52</f>
        <v>0</v>
      </c>
      <c r="J46" s="47">
        <f>WPF!K24+WPF!K52</f>
        <v>0</v>
      </c>
      <c r="K46" s="47">
        <f>WPF!L24+WPF!L52</f>
        <v>0</v>
      </c>
      <c r="L46" s="47">
        <f>WPF!M24+WPF!M52</f>
        <v>0</v>
      </c>
      <c r="M46" s="47">
        <f>WPF!N24+WPF!N52</f>
        <v>0</v>
      </c>
      <c r="N46" s="47">
        <f>WPF!O24+WPF!O52</f>
        <v>0</v>
      </c>
      <c r="O46" s="47">
        <f>WPF!P24+WPF!P52</f>
        <v>0</v>
      </c>
      <c r="P46" s="47">
        <f>WPF!Q24+WPF!Q52</f>
        <v>0</v>
      </c>
    </row>
    <row r="47" spans="1:16" ht="11.25" customHeight="1">
      <c r="A47" s="125" t="s">
        <v>66</v>
      </c>
      <c r="B47" s="49" t="s">
        <v>89</v>
      </c>
      <c r="C47" s="44">
        <v>6330000</v>
      </c>
      <c r="D47" s="44"/>
      <c r="E47" s="350">
        <v>2100000</v>
      </c>
      <c r="F47" s="356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1.25" customHeight="1">
      <c r="A48" s="125" t="s">
        <v>68</v>
      </c>
      <c r="B48" s="49" t="s">
        <v>90</v>
      </c>
      <c r="C48" s="44">
        <v>4810000</v>
      </c>
      <c r="D48" s="44"/>
      <c r="E48" s="350"/>
      <c r="F48" s="356">
        <v>10000000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1.25" customHeight="1">
      <c r="A49" s="125" t="s">
        <v>76</v>
      </c>
      <c r="B49" s="49" t="s">
        <v>97</v>
      </c>
      <c r="C49" s="44">
        <v>14000000</v>
      </c>
      <c r="D49" s="44">
        <v>9000000</v>
      </c>
      <c r="E49" s="350">
        <v>11500000</v>
      </c>
      <c r="F49" s="356">
        <v>6900000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51.75" customHeight="1">
      <c r="A50" s="125" t="s">
        <v>79</v>
      </c>
      <c r="B50" s="65" t="s">
        <v>98</v>
      </c>
      <c r="C50" s="44">
        <v>3719761</v>
      </c>
      <c r="D50" s="44">
        <v>1245475</v>
      </c>
      <c r="E50" s="350">
        <v>427077</v>
      </c>
      <c r="F50" s="356">
        <v>4004678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4.25" customHeight="1">
      <c r="A51" s="125" t="s">
        <v>139</v>
      </c>
      <c r="B51" s="66" t="s">
        <v>99</v>
      </c>
      <c r="C51" s="44"/>
      <c r="D51" s="44"/>
      <c r="E51" s="350"/>
      <c r="F51" s="356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21" customHeight="1">
      <c r="A52" s="67" t="s">
        <v>207</v>
      </c>
      <c r="B52" s="132" t="s">
        <v>110</v>
      </c>
      <c r="C52" s="47">
        <f>WPF!D29+WPF!D34</f>
        <v>3463314</v>
      </c>
      <c r="D52" s="47">
        <f>WPF!E29+WPF!E34</f>
        <v>6980085</v>
      </c>
      <c r="E52" s="352">
        <f>WPF!F29+WPF!F34</f>
        <v>4551585</v>
      </c>
      <c r="F52" s="359">
        <f>WPF!G29+WPF!G34</f>
        <v>6935040</v>
      </c>
      <c r="G52" s="47">
        <f>WPF!H29+WPF!H34</f>
        <v>7316899</v>
      </c>
      <c r="H52" s="47">
        <f>WPF!I29+WPF!I34</f>
        <v>7156453</v>
      </c>
      <c r="I52" s="47">
        <f>WPF!J29+WPF!J34</f>
        <v>6200000</v>
      </c>
      <c r="J52" s="47">
        <f>WPF!K29+WPF!K34</f>
        <v>6300000</v>
      </c>
      <c r="K52" s="47">
        <f>WPF!L29+WPF!L34</f>
        <v>6901170</v>
      </c>
      <c r="L52" s="47">
        <f>WPF!M29+WPF!M34</f>
        <v>6062028</v>
      </c>
      <c r="M52" s="47">
        <f>WPF!N29+WPF!N34</f>
        <v>7850523</v>
      </c>
      <c r="N52" s="47">
        <f>WPF!O29+WPF!O34</f>
        <v>6800000</v>
      </c>
      <c r="O52" s="47">
        <f>WPF!P29+WPF!P34</f>
        <v>5723949</v>
      </c>
      <c r="P52" s="47">
        <f>WPF!Q29+WPF!Q34</f>
        <v>6500000</v>
      </c>
    </row>
    <row r="53" spans="1:16" ht="12" customHeight="1">
      <c r="A53" s="69" t="s">
        <v>66</v>
      </c>
      <c r="B53" s="49" t="s">
        <v>89</v>
      </c>
      <c r="C53" s="45">
        <v>2963314</v>
      </c>
      <c r="D53" s="70">
        <v>3340085</v>
      </c>
      <c r="E53" s="350">
        <f>WPF!F30</f>
        <v>2141585</v>
      </c>
      <c r="F53" s="356">
        <f>WPF!G30</f>
        <v>3535040</v>
      </c>
      <c r="G53" s="45">
        <f>WPF!H30</f>
        <v>3666899</v>
      </c>
      <c r="H53" s="45">
        <f>WPF!I30</f>
        <v>3506453</v>
      </c>
      <c r="I53" s="45">
        <f>WPF!J30</f>
        <v>2550000</v>
      </c>
      <c r="J53" s="45">
        <f>WPF!K30</f>
        <v>2550000</v>
      </c>
      <c r="K53" s="45">
        <f>WPF!L30</f>
        <v>2401170</v>
      </c>
      <c r="L53" s="45">
        <f>WPF!M30</f>
        <v>62028</v>
      </c>
      <c r="M53" s="45">
        <f>WPF!N30</f>
        <v>750523</v>
      </c>
      <c r="N53" s="45">
        <f>WPF!O30</f>
        <v>600000</v>
      </c>
      <c r="O53" s="45">
        <f>WPF!P30</f>
        <v>423949</v>
      </c>
      <c r="P53" s="45">
        <f>WPF!Q30</f>
        <v>0</v>
      </c>
    </row>
    <row r="54" spans="1:16" ht="12" customHeight="1">
      <c r="A54" s="69" t="s">
        <v>68</v>
      </c>
      <c r="B54" s="49" t="s">
        <v>90</v>
      </c>
      <c r="C54" s="45">
        <v>500000</v>
      </c>
      <c r="D54" s="70">
        <v>3600000</v>
      </c>
      <c r="E54" s="350">
        <f>WPF!F31</f>
        <v>410000</v>
      </c>
      <c r="F54" s="356">
        <f>WPF!G31</f>
        <v>400000</v>
      </c>
      <c r="G54" s="45">
        <f>WPF!H31</f>
        <v>650000</v>
      </c>
      <c r="H54" s="45">
        <f>WPF!I31</f>
        <v>650000</v>
      </c>
      <c r="I54" s="45">
        <f>WPF!J31</f>
        <v>650000</v>
      </c>
      <c r="J54" s="45">
        <f>WPF!K31</f>
        <v>750000</v>
      </c>
      <c r="K54" s="45">
        <f>WPF!L31</f>
        <v>1500000</v>
      </c>
      <c r="L54" s="45">
        <f>WPF!M31</f>
        <v>1000000</v>
      </c>
      <c r="M54" s="45">
        <f>WPF!N31</f>
        <v>500000</v>
      </c>
      <c r="N54" s="45">
        <f>WPF!O31</f>
        <v>500000</v>
      </c>
      <c r="O54" s="45">
        <f>WPF!P31</f>
        <v>1200000</v>
      </c>
      <c r="P54" s="45">
        <f>WPF!Q31</f>
        <v>6500000</v>
      </c>
    </row>
    <row r="55" spans="1:16" ht="12.75" customHeight="1">
      <c r="A55" s="69" t="s">
        <v>76</v>
      </c>
      <c r="B55" s="49" t="s">
        <v>91</v>
      </c>
      <c r="C55" s="45"/>
      <c r="D55" s="70"/>
      <c r="E55" s="350">
        <f>WPF!F32</f>
        <v>2000000</v>
      </c>
      <c r="F55" s="356">
        <f>WPF!G32</f>
        <v>3000000</v>
      </c>
      <c r="G55" s="45">
        <f>WPF!H32</f>
        <v>3000000</v>
      </c>
      <c r="H55" s="45">
        <f>WPF!I32</f>
        <v>3000000</v>
      </c>
      <c r="I55" s="45">
        <f>WPF!J32</f>
        <v>3000000</v>
      </c>
      <c r="J55" s="45">
        <f>WPF!K32</f>
        <v>3000000</v>
      </c>
      <c r="K55" s="45">
        <f>WPF!L32</f>
        <v>3000000</v>
      </c>
      <c r="L55" s="45">
        <f>WPF!M32</f>
        <v>5000000</v>
      </c>
      <c r="M55" s="45">
        <f>WPF!N32</f>
        <v>6600000</v>
      </c>
      <c r="N55" s="45">
        <f>WPF!O32</f>
        <v>5700000</v>
      </c>
      <c r="O55" s="45">
        <f>WPF!P32</f>
        <v>4100000</v>
      </c>
      <c r="P55" s="45">
        <f>WPF!Q32</f>
        <v>0</v>
      </c>
    </row>
    <row r="56" spans="1:16" ht="36" customHeight="1" thickBot="1">
      <c r="A56" s="135">
        <v>16</v>
      </c>
      <c r="B56" s="136" t="s">
        <v>142</v>
      </c>
      <c r="C56" s="137">
        <f>(WPF!D14+WPF!D24)/'Prognoza długu'!C25%</f>
        <v>116.24893719986517</v>
      </c>
      <c r="D56" s="137">
        <f>(WPF!E14+WPF!E24)/'Prognoza długu'!D25%</f>
        <v>109.50668943564182</v>
      </c>
      <c r="E56" s="354">
        <f>(WPF!F14+WPF!F24)/'Prognoza długu'!E25%</f>
        <v>109.5395095059268</v>
      </c>
      <c r="F56" s="360">
        <f>(WPF!G14+WPF!G24)/'Prognoza długu'!F25%</f>
        <v>104.17480928861237</v>
      </c>
      <c r="G56" s="137">
        <f>(WPF!H14+WPF!H24)/'Prognoza długu'!G25%</f>
        <v>127.78593771845202</v>
      </c>
      <c r="H56" s="137">
        <f>(WPF!I14+WPF!I24)/'Prognoza długu'!H25%</f>
        <v>137.0710919982567</v>
      </c>
      <c r="I56" s="137">
        <f>(WPF!J14+WPF!J24)/'Prognoza długu'!I25%</f>
        <v>141.7265168576017</v>
      </c>
      <c r="J56" s="137">
        <f>(WPF!K14+WPF!K24)/'Prognoza długu'!J25%</f>
        <v>124.60654823905419</v>
      </c>
      <c r="K56" s="137">
        <f>(WPF!L14+WPF!L24)/'Prognoza długu'!K25%</f>
        <v>126.12790270073647</v>
      </c>
      <c r="L56" s="137">
        <f>(WPF!M14+WPF!M24)/'Prognoza długu'!L25%</f>
        <v>127.13223320282188</v>
      </c>
      <c r="M56" s="137">
        <f>(WPF!N14+WPF!N24)/'Prognoza długu'!M25%</f>
        <v>131.05270625099453</v>
      </c>
      <c r="N56" s="137">
        <f>(WPF!O14+WPF!O24)/'Prognoza długu'!N25%</f>
        <v>129.33709955258726</v>
      </c>
      <c r="O56" s="137">
        <f>(WPF!P14+WPF!P24)/'Prognoza długu'!O25%</f>
        <v>129.8614606229207</v>
      </c>
      <c r="P56" s="137">
        <f>(WPF!Q14+WPF!Q24)/'Prognoza długu'!P25%</f>
        <v>130.22128947935155</v>
      </c>
    </row>
    <row r="57" spans="1:16" ht="12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</sheetData>
  <sheetProtection/>
  <mergeCells count="11"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C8:E8"/>
    <mergeCell ref="F8:P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5"/>
  <sheetViews>
    <sheetView view="pageLayout" zoomScaleNormal="90" workbookViewId="0" topLeftCell="G1">
      <selection activeCell="A170" sqref="A170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6.28125" style="24" customWidth="1"/>
    <col min="8" max="8" width="8.00390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1.140625" style="24" customWidth="1"/>
    <col min="17" max="17" width="14.421875" style="0" customWidth="1"/>
    <col min="18" max="18" width="11.7109375" style="0" bestFit="1" customWidth="1"/>
  </cols>
  <sheetData>
    <row r="1" spans="1:17" s="26" customFormat="1" ht="15" customHeight="1">
      <c r="A1" s="307"/>
      <c r="B1" s="139"/>
      <c r="C1" s="139"/>
      <c r="D1" s="139"/>
      <c r="E1" s="139"/>
      <c r="F1" s="139"/>
      <c r="G1" s="140"/>
      <c r="H1" s="139"/>
      <c r="I1" s="139"/>
      <c r="J1" s="139"/>
      <c r="K1" s="139"/>
      <c r="L1" s="139"/>
      <c r="M1" s="139"/>
      <c r="N1" s="139"/>
      <c r="O1" s="52" t="s">
        <v>143</v>
      </c>
      <c r="P1" s="52"/>
      <c r="Q1" s="139"/>
    </row>
    <row r="2" spans="1:17" s="29" customFormat="1" ht="4.5" customHeight="1">
      <c r="A2" s="307"/>
      <c r="B2" s="139"/>
      <c r="C2" s="139"/>
      <c r="D2" s="139"/>
      <c r="E2" s="139"/>
      <c r="F2" s="139"/>
      <c r="G2" s="141"/>
      <c r="H2" s="139"/>
      <c r="I2" s="139"/>
      <c r="J2" s="139"/>
      <c r="K2" s="139"/>
      <c r="L2" s="139"/>
      <c r="M2" s="139"/>
      <c r="N2" s="139"/>
      <c r="O2" s="57"/>
      <c r="P2" s="58"/>
      <c r="Q2" s="139"/>
    </row>
    <row r="3" spans="1:17" s="29" customFormat="1" ht="12.75" customHeight="1">
      <c r="A3" s="307"/>
      <c r="B3" s="139"/>
      <c r="C3" s="139"/>
      <c r="D3" s="139"/>
      <c r="E3" s="139"/>
      <c r="F3" s="139"/>
      <c r="G3" s="142"/>
      <c r="H3" s="139"/>
      <c r="I3" s="139"/>
      <c r="J3" s="139"/>
      <c r="K3" s="139"/>
      <c r="L3" s="139"/>
      <c r="M3" s="139"/>
      <c r="N3" s="139"/>
      <c r="O3" s="62" t="s">
        <v>410</v>
      </c>
      <c r="P3" s="58"/>
      <c r="Q3" s="139"/>
    </row>
    <row r="4" spans="1:17" s="29" customFormat="1" ht="12.75" customHeight="1">
      <c r="A4" s="307"/>
      <c r="B4" s="139"/>
      <c r="C4" s="139"/>
      <c r="D4" s="139"/>
      <c r="E4" s="139"/>
      <c r="F4" s="139"/>
      <c r="G4" s="142"/>
      <c r="H4" s="139"/>
      <c r="I4" s="139"/>
      <c r="J4" s="139"/>
      <c r="K4" s="139"/>
      <c r="L4" s="139"/>
      <c r="M4" s="139"/>
      <c r="N4" s="139"/>
      <c r="O4" s="62" t="s">
        <v>49</v>
      </c>
      <c r="P4" s="58"/>
      <c r="Q4" s="139"/>
    </row>
    <row r="5" spans="1:17" s="29" customFormat="1" ht="16.5" customHeight="1" thickBot="1">
      <c r="A5" s="307"/>
      <c r="B5" s="139"/>
      <c r="C5" s="139"/>
      <c r="D5" s="139"/>
      <c r="E5" s="139"/>
      <c r="F5" s="139"/>
      <c r="G5" s="142"/>
      <c r="H5" s="139"/>
      <c r="I5" s="139"/>
      <c r="J5" s="474"/>
      <c r="K5" s="139"/>
      <c r="L5" s="139"/>
      <c r="M5" s="139"/>
      <c r="N5" s="139"/>
      <c r="O5" s="62" t="s">
        <v>409</v>
      </c>
      <c r="P5" s="58"/>
      <c r="Q5" s="139"/>
    </row>
    <row r="6" spans="1:17" s="29" customFormat="1" ht="12.75" customHeight="1">
      <c r="A6" s="677" t="s">
        <v>308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</row>
    <row r="7" spans="1:17" s="29" customFormat="1" ht="12.75" customHeight="1" thickBot="1">
      <c r="A7" s="678"/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</row>
    <row r="8" spans="1:17" s="29" customFormat="1" ht="12.75" customHeight="1">
      <c r="A8" s="661" t="s">
        <v>112</v>
      </c>
      <c r="B8" s="665" t="s">
        <v>144</v>
      </c>
      <c r="C8" s="669" t="s">
        <v>145</v>
      </c>
      <c r="D8" s="672" t="s">
        <v>230</v>
      </c>
      <c r="E8" s="672"/>
      <c r="F8" s="672" t="s">
        <v>146</v>
      </c>
      <c r="G8" s="672"/>
      <c r="H8" s="672"/>
      <c r="I8" s="674" t="s">
        <v>147</v>
      </c>
      <c r="J8" s="679" t="s">
        <v>307</v>
      </c>
      <c r="K8" s="679"/>
      <c r="L8" s="679"/>
      <c r="M8" s="679"/>
      <c r="N8" s="679"/>
      <c r="O8" s="679"/>
      <c r="P8" s="679"/>
      <c r="Q8" s="652" t="s">
        <v>148</v>
      </c>
    </row>
    <row r="9" spans="1:17" s="29" customFormat="1" ht="11.25" customHeight="1">
      <c r="A9" s="662"/>
      <c r="B9" s="666"/>
      <c r="C9" s="670"/>
      <c r="D9" s="673"/>
      <c r="E9" s="673"/>
      <c r="F9" s="673"/>
      <c r="G9" s="673"/>
      <c r="H9" s="673"/>
      <c r="I9" s="659"/>
      <c r="J9" s="656">
        <v>2012</v>
      </c>
      <c r="K9" s="657"/>
      <c r="L9" s="657"/>
      <c r="M9" s="658">
        <v>2013</v>
      </c>
      <c r="N9" s="658">
        <v>2014</v>
      </c>
      <c r="O9" s="658">
        <v>2015</v>
      </c>
      <c r="P9" s="658">
        <v>2016</v>
      </c>
      <c r="Q9" s="653"/>
    </row>
    <row r="10" spans="1:17" s="29" customFormat="1" ht="11.25" customHeight="1">
      <c r="A10" s="663"/>
      <c r="B10" s="667"/>
      <c r="C10" s="671"/>
      <c r="D10" s="658" t="s">
        <v>149</v>
      </c>
      <c r="E10" s="658" t="s">
        <v>150</v>
      </c>
      <c r="F10" s="676" t="s">
        <v>151</v>
      </c>
      <c r="G10" s="676" t="s">
        <v>152</v>
      </c>
      <c r="H10" s="676" t="s">
        <v>153</v>
      </c>
      <c r="I10" s="675"/>
      <c r="J10" s="656"/>
      <c r="K10" s="657"/>
      <c r="L10" s="657"/>
      <c r="M10" s="659"/>
      <c r="N10" s="659"/>
      <c r="O10" s="659"/>
      <c r="P10" s="659"/>
      <c r="Q10" s="654"/>
    </row>
    <row r="11" spans="1:17" s="29" customFormat="1" ht="20.25" customHeight="1" thickBot="1">
      <c r="A11" s="664"/>
      <c r="B11" s="668"/>
      <c r="C11" s="668"/>
      <c r="D11" s="668"/>
      <c r="E11" s="668"/>
      <c r="F11" s="668"/>
      <c r="G11" s="668"/>
      <c r="H11" s="668"/>
      <c r="I11" s="668"/>
      <c r="J11" s="425" t="s">
        <v>304</v>
      </c>
      <c r="K11" s="425" t="s">
        <v>305</v>
      </c>
      <c r="L11" s="425" t="s">
        <v>306</v>
      </c>
      <c r="M11" s="660"/>
      <c r="N11" s="660"/>
      <c r="O11" s="660"/>
      <c r="P11" s="660"/>
      <c r="Q11" s="655"/>
    </row>
    <row r="12" spans="1:18" s="25" customFormat="1" ht="26.25" customHeight="1">
      <c r="A12" s="143"/>
      <c r="B12" s="144" t="s">
        <v>154</v>
      </c>
      <c r="C12" s="145" t="s">
        <v>81</v>
      </c>
      <c r="D12" s="145" t="s">
        <v>81</v>
      </c>
      <c r="E12" s="145" t="s">
        <v>81</v>
      </c>
      <c r="F12" s="145"/>
      <c r="G12" s="145"/>
      <c r="H12" s="145"/>
      <c r="I12" s="146">
        <f aca="true" t="shared" si="0" ref="I12:P12">I13+I14</f>
        <v>250987371</v>
      </c>
      <c r="J12" s="426">
        <f t="shared" si="0"/>
        <v>75693966</v>
      </c>
      <c r="K12" s="426">
        <f>K13+K14</f>
        <v>-4948825</v>
      </c>
      <c r="L12" s="426">
        <f>L13+L14</f>
        <v>70745141</v>
      </c>
      <c r="M12" s="146">
        <f t="shared" si="0"/>
        <v>83201596</v>
      </c>
      <c r="N12" s="147">
        <f>N13+N14</f>
        <v>30824714</v>
      </c>
      <c r="O12" s="147">
        <f t="shared" si="0"/>
        <v>42237310</v>
      </c>
      <c r="P12" s="147">
        <f t="shared" si="0"/>
        <v>5918490</v>
      </c>
      <c r="Q12" s="148">
        <f>SUM(L12:P12)</f>
        <v>232927251</v>
      </c>
      <c r="R12" s="441">
        <f>Q13+Q14</f>
        <v>232927251</v>
      </c>
    </row>
    <row r="13" spans="1:17" s="30" customFormat="1" ht="24.75" customHeight="1">
      <c r="A13" s="149"/>
      <c r="B13" s="150" t="s">
        <v>155</v>
      </c>
      <c r="C13" s="82" t="s">
        <v>81</v>
      </c>
      <c r="D13" s="82" t="s">
        <v>81</v>
      </c>
      <c r="E13" s="82" t="s">
        <v>81</v>
      </c>
      <c r="F13" s="82"/>
      <c r="G13" s="82"/>
      <c r="H13" s="82"/>
      <c r="I13" s="151">
        <f aca="true" t="shared" si="1" ref="I13:P13">I97</f>
        <v>41058714</v>
      </c>
      <c r="J13" s="427">
        <f t="shared" si="1"/>
        <v>15297700</v>
      </c>
      <c r="K13" s="427">
        <f>K97</f>
        <v>166400</v>
      </c>
      <c r="L13" s="427">
        <f>L97</f>
        <v>15464100</v>
      </c>
      <c r="M13" s="151">
        <f t="shared" si="1"/>
        <v>9391090</v>
      </c>
      <c r="N13" s="151">
        <f t="shared" si="1"/>
        <v>6033714</v>
      </c>
      <c r="O13" s="151">
        <f t="shared" si="1"/>
        <v>3761310</v>
      </c>
      <c r="P13" s="151">
        <f t="shared" si="1"/>
        <v>3558490</v>
      </c>
      <c r="Q13" s="152">
        <f>SUM(L13:P13)</f>
        <v>38208704</v>
      </c>
    </row>
    <row r="14" spans="1:18" s="30" customFormat="1" ht="24.75" customHeight="1">
      <c r="A14" s="149"/>
      <c r="B14" s="150" t="s">
        <v>156</v>
      </c>
      <c r="C14" s="82" t="s">
        <v>81</v>
      </c>
      <c r="D14" s="82" t="s">
        <v>81</v>
      </c>
      <c r="E14" s="82" t="s">
        <v>81</v>
      </c>
      <c r="F14" s="82"/>
      <c r="G14" s="82"/>
      <c r="H14" s="82"/>
      <c r="I14" s="151">
        <f aca="true" t="shared" si="2" ref="I14:P15">I15</f>
        <v>209928657</v>
      </c>
      <c r="J14" s="427">
        <f t="shared" si="2"/>
        <v>60396266</v>
      </c>
      <c r="K14" s="427">
        <f t="shared" si="2"/>
        <v>-5115225</v>
      </c>
      <c r="L14" s="427">
        <f t="shared" si="2"/>
        <v>55281041</v>
      </c>
      <c r="M14" s="151">
        <f t="shared" si="2"/>
        <v>73810506</v>
      </c>
      <c r="N14" s="151">
        <f t="shared" si="2"/>
        <v>24791000</v>
      </c>
      <c r="O14" s="151">
        <f t="shared" si="2"/>
        <v>38476000</v>
      </c>
      <c r="P14" s="151">
        <f t="shared" si="2"/>
        <v>2360000</v>
      </c>
      <c r="Q14" s="152">
        <f>SUM(L14:P14)</f>
        <v>194718547</v>
      </c>
      <c r="R14" s="442">
        <f>J12+K12</f>
        <v>70745141</v>
      </c>
    </row>
    <row r="15" spans="1:18" s="31" customFormat="1" ht="39.75" customHeight="1">
      <c r="A15" s="153" t="s">
        <v>157</v>
      </c>
      <c r="B15" s="154" t="s">
        <v>391</v>
      </c>
      <c r="C15" s="155" t="s">
        <v>81</v>
      </c>
      <c r="D15" s="155" t="s">
        <v>81</v>
      </c>
      <c r="E15" s="155" t="s">
        <v>81</v>
      </c>
      <c r="F15" s="155"/>
      <c r="G15" s="155"/>
      <c r="H15" s="155"/>
      <c r="I15" s="156">
        <f>I16</f>
        <v>209928657</v>
      </c>
      <c r="J15" s="428">
        <f t="shared" si="2"/>
        <v>60396266</v>
      </c>
      <c r="K15" s="428">
        <f t="shared" si="2"/>
        <v>-5115225</v>
      </c>
      <c r="L15" s="428">
        <f t="shared" si="2"/>
        <v>55281041</v>
      </c>
      <c r="M15" s="156">
        <f t="shared" si="2"/>
        <v>73810506</v>
      </c>
      <c r="N15" s="157">
        <f>N16</f>
        <v>24791000</v>
      </c>
      <c r="O15" s="157">
        <f>O16</f>
        <v>38476000</v>
      </c>
      <c r="P15" s="156">
        <f>P16</f>
        <v>2360000</v>
      </c>
      <c r="Q15" s="158">
        <f>SUM(L15:P15)</f>
        <v>194718547</v>
      </c>
      <c r="R15" s="37">
        <f>J16+K16</f>
        <v>55281041</v>
      </c>
    </row>
    <row r="16" spans="1:21" s="30" customFormat="1" ht="25.5" customHeight="1">
      <c r="A16" s="149"/>
      <c r="B16" s="150" t="s">
        <v>156</v>
      </c>
      <c r="C16" s="82" t="s">
        <v>81</v>
      </c>
      <c r="D16" s="82" t="s">
        <v>81</v>
      </c>
      <c r="E16" s="82" t="s">
        <v>81</v>
      </c>
      <c r="F16" s="82"/>
      <c r="G16" s="82"/>
      <c r="H16" s="82"/>
      <c r="I16" s="151">
        <f aca="true" t="shared" si="3" ref="I16:Q16">I18+I62</f>
        <v>209928657</v>
      </c>
      <c r="J16" s="427">
        <f t="shared" si="3"/>
        <v>60396266</v>
      </c>
      <c r="K16" s="427">
        <f t="shared" si="3"/>
        <v>-5115225</v>
      </c>
      <c r="L16" s="427">
        <f t="shared" si="3"/>
        <v>55281041</v>
      </c>
      <c r="M16" s="151">
        <f t="shared" si="3"/>
        <v>73810506</v>
      </c>
      <c r="N16" s="151">
        <f t="shared" si="3"/>
        <v>24791000</v>
      </c>
      <c r="O16" s="151">
        <f t="shared" si="3"/>
        <v>38476000</v>
      </c>
      <c r="P16" s="151">
        <f t="shared" si="3"/>
        <v>2360000</v>
      </c>
      <c r="Q16" s="151">
        <f t="shared" si="3"/>
        <v>194718547</v>
      </c>
      <c r="R16" s="299">
        <f>R19+R38+R47+R63+R97</f>
        <v>234184201</v>
      </c>
      <c r="S16" s="299">
        <f>R16-Q12</f>
        <v>1256950</v>
      </c>
      <c r="T16" s="32"/>
      <c r="U16" s="32"/>
    </row>
    <row r="17" spans="1:28" s="35" customFormat="1" ht="62.25" customHeight="1">
      <c r="A17" s="153" t="s">
        <v>158</v>
      </c>
      <c r="B17" s="301" t="s">
        <v>159</v>
      </c>
      <c r="C17" s="155" t="s">
        <v>81</v>
      </c>
      <c r="D17" s="155" t="s">
        <v>81</v>
      </c>
      <c r="E17" s="155" t="s">
        <v>81</v>
      </c>
      <c r="F17" s="155"/>
      <c r="G17" s="155"/>
      <c r="H17" s="155"/>
      <c r="I17" s="156">
        <f aca="true" t="shared" si="4" ref="I17:P17">I18</f>
        <v>186071150</v>
      </c>
      <c r="J17" s="428">
        <f t="shared" si="4"/>
        <v>51503524</v>
      </c>
      <c r="K17" s="428">
        <f t="shared" si="4"/>
        <v>-5070207</v>
      </c>
      <c r="L17" s="428">
        <f t="shared" si="4"/>
        <v>46433317</v>
      </c>
      <c r="M17" s="156">
        <f t="shared" si="4"/>
        <v>63696261</v>
      </c>
      <c r="N17" s="156">
        <f t="shared" si="4"/>
        <v>22925000</v>
      </c>
      <c r="O17" s="156">
        <f t="shared" si="4"/>
        <v>38390000</v>
      </c>
      <c r="P17" s="156">
        <f t="shared" si="4"/>
        <v>1710000</v>
      </c>
      <c r="Q17" s="158">
        <f>SUM(L17:P17)</f>
        <v>173154578</v>
      </c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</row>
    <row r="18" spans="1:18" s="30" customFormat="1" ht="25.5" customHeight="1">
      <c r="A18" s="149"/>
      <c r="B18" s="150" t="s">
        <v>156</v>
      </c>
      <c r="C18" s="82" t="s">
        <v>81</v>
      </c>
      <c r="D18" s="82" t="s">
        <v>81</v>
      </c>
      <c r="E18" s="82" t="s">
        <v>81</v>
      </c>
      <c r="F18" s="82"/>
      <c r="G18" s="82"/>
      <c r="H18" s="82"/>
      <c r="I18" s="151">
        <f aca="true" t="shared" si="5" ref="I18:Q18">I19+I38+I47</f>
        <v>186071150</v>
      </c>
      <c r="J18" s="427">
        <f t="shared" si="5"/>
        <v>51503524</v>
      </c>
      <c r="K18" s="427">
        <f t="shared" si="5"/>
        <v>-5070207</v>
      </c>
      <c r="L18" s="427">
        <f t="shared" si="5"/>
        <v>46433317</v>
      </c>
      <c r="M18" s="151">
        <f t="shared" si="5"/>
        <v>63696261</v>
      </c>
      <c r="N18" s="151">
        <f t="shared" si="5"/>
        <v>22925000</v>
      </c>
      <c r="O18" s="151">
        <f t="shared" si="5"/>
        <v>38390000</v>
      </c>
      <c r="P18" s="151">
        <f t="shared" si="5"/>
        <v>1710000</v>
      </c>
      <c r="Q18" s="159">
        <f t="shared" si="5"/>
        <v>173154578</v>
      </c>
      <c r="R18" s="296">
        <f>SUM(L18:P18)</f>
        <v>173154578</v>
      </c>
    </row>
    <row r="19" spans="1:18" s="36" customFormat="1" ht="30.75" customHeight="1">
      <c r="A19" s="336" t="s">
        <v>160</v>
      </c>
      <c r="B19" s="337" t="s">
        <v>161</v>
      </c>
      <c r="C19" s="338" t="s">
        <v>162</v>
      </c>
      <c r="D19" s="324">
        <v>2004</v>
      </c>
      <c r="E19" s="324">
        <v>2016</v>
      </c>
      <c r="F19" s="681" t="s">
        <v>232</v>
      </c>
      <c r="G19" s="681"/>
      <c r="H19" s="681"/>
      <c r="I19" s="339">
        <f>I20+I24+I28+I29+I30+I31+I32+I37</f>
        <v>74491004</v>
      </c>
      <c r="J19" s="339">
        <f>J20+J24+J28+J29+J30+J31+J32+J37</f>
        <v>21631239</v>
      </c>
      <c r="K19" s="339">
        <f>K20+K24+K28+K29+K30+K31+K32+K37</f>
        <v>-4370207</v>
      </c>
      <c r="L19" s="339">
        <f>L20+L24+L28+L29+L30+L31+L32+L37</f>
        <v>17261032</v>
      </c>
      <c r="M19" s="339">
        <f>M24+M20+M37+M30+M29+M28+M31+M32</f>
        <v>31051261</v>
      </c>
      <c r="N19" s="339">
        <f>N24+N20+N37+N30+N29+N28+N31</f>
        <v>8925000</v>
      </c>
      <c r="O19" s="339">
        <f>O24+O20+O37+O30+O29+O28+O31+O32</f>
        <v>6590000</v>
      </c>
      <c r="P19" s="339">
        <f>P24+P20+P37+P30+P29+P28+P31+P32</f>
        <v>1710000</v>
      </c>
      <c r="Q19" s="339">
        <f>Q24+Q20+SUM(Q28:Q37)</f>
        <v>65537293</v>
      </c>
      <c r="R19" s="298">
        <f>SUM(L19:P19)</f>
        <v>65537293</v>
      </c>
    </row>
    <row r="20" spans="1:18" s="19" customFormat="1" ht="25.5" customHeight="1">
      <c r="A20" s="183" t="s">
        <v>163</v>
      </c>
      <c r="B20" s="682" t="s">
        <v>164</v>
      </c>
      <c r="C20" s="455" t="s">
        <v>165</v>
      </c>
      <c r="D20" s="454">
        <v>2004</v>
      </c>
      <c r="E20" s="454">
        <v>2016</v>
      </c>
      <c r="F20" s="684" t="s">
        <v>166</v>
      </c>
      <c r="G20" s="684"/>
      <c r="H20" s="684"/>
      <c r="I20" s="163">
        <f>SUM(I21:I23)</f>
        <v>45689433</v>
      </c>
      <c r="J20" s="427">
        <f>SUM(J21:J23)</f>
        <v>10775250</v>
      </c>
      <c r="K20" s="427">
        <f>SUM(K21:K23)</f>
        <v>0</v>
      </c>
      <c r="L20" s="427">
        <f>J20+K20</f>
        <v>10775250</v>
      </c>
      <c r="M20" s="163">
        <f>SUM(M21:M23)</f>
        <v>12816261</v>
      </c>
      <c r="N20" s="163">
        <f>SUM(N21:N23)</f>
        <v>8925000</v>
      </c>
      <c r="O20" s="163">
        <f>SUM(O21:O23)</f>
        <v>6500000</v>
      </c>
      <c r="P20" s="163">
        <f>SUM(P21:P23)</f>
        <v>1000000</v>
      </c>
      <c r="Q20" s="152">
        <f>SUM(L20:P20)</f>
        <v>40016511</v>
      </c>
      <c r="R20" s="23">
        <f>SUM(Q21:Q23)</f>
        <v>40016511</v>
      </c>
    </row>
    <row r="21" spans="1:17" s="19" customFormat="1" ht="24.75" customHeight="1">
      <c r="A21" s="190"/>
      <c r="B21" s="683"/>
      <c r="C21" s="303"/>
      <c r="D21" s="303"/>
      <c r="E21" s="303"/>
      <c r="F21" s="164" t="s">
        <v>167</v>
      </c>
      <c r="G21" s="164" t="s">
        <v>168</v>
      </c>
      <c r="H21" s="164">
        <v>6050</v>
      </c>
      <c r="I21" s="165">
        <f>L21+M21+N21+O21+P21+1903935</f>
        <v>19626645</v>
      </c>
      <c r="J21" s="429">
        <v>5237710</v>
      </c>
      <c r="K21" s="429"/>
      <c r="L21" s="435">
        <f aca="true" t="shared" si="6" ref="L21:L41">J21+K21</f>
        <v>5237710</v>
      </c>
      <c r="M21" s="166">
        <v>485000</v>
      </c>
      <c r="N21" s="166">
        <v>4500000</v>
      </c>
      <c r="O21" s="166">
        <v>6500000</v>
      </c>
      <c r="P21" s="167">
        <v>1000000</v>
      </c>
      <c r="Q21" s="168">
        <f>SUM(L21:P21)</f>
        <v>17722710</v>
      </c>
    </row>
    <row r="22" spans="1:17" s="19" customFormat="1" ht="25.5" customHeight="1">
      <c r="A22" s="190"/>
      <c r="B22" s="317"/>
      <c r="C22" s="303"/>
      <c r="D22" s="303"/>
      <c r="E22" s="303"/>
      <c r="F22" s="169"/>
      <c r="G22" s="169"/>
      <c r="H22" s="169">
        <v>6058</v>
      </c>
      <c r="I22" s="170">
        <f>L22+M22+N22</f>
        <v>17760500</v>
      </c>
      <c r="J22" s="430">
        <v>3457999</v>
      </c>
      <c r="K22" s="430"/>
      <c r="L22" s="436">
        <f t="shared" si="6"/>
        <v>3457999</v>
      </c>
      <c r="M22" s="171">
        <v>9877501</v>
      </c>
      <c r="N22" s="172">
        <v>4425000</v>
      </c>
      <c r="O22" s="172"/>
      <c r="P22" s="172"/>
      <c r="Q22" s="173">
        <f aca="true" t="shared" si="7" ref="Q22:Q27">SUM(L22:O22)</f>
        <v>17760500</v>
      </c>
    </row>
    <row r="23" spans="1:17" s="19" customFormat="1" ht="25.5" customHeight="1">
      <c r="A23" s="304"/>
      <c r="B23" s="318"/>
      <c r="C23" s="305"/>
      <c r="D23" s="305"/>
      <c r="E23" s="305"/>
      <c r="F23" s="174"/>
      <c r="G23" s="174"/>
      <c r="H23" s="174">
        <v>6059</v>
      </c>
      <c r="I23" s="175">
        <f>L23+M23+3768987</f>
        <v>8302288</v>
      </c>
      <c r="J23" s="438">
        <v>2079541</v>
      </c>
      <c r="K23" s="431"/>
      <c r="L23" s="437">
        <f>J23+K23</f>
        <v>2079541</v>
      </c>
      <c r="M23" s="176">
        <v>2453760</v>
      </c>
      <c r="N23" s="177"/>
      <c r="O23" s="177"/>
      <c r="P23" s="177"/>
      <c r="Q23" s="173">
        <f t="shared" si="7"/>
        <v>4533301</v>
      </c>
    </row>
    <row r="24" spans="1:18" s="19" customFormat="1" ht="25.5" customHeight="1">
      <c r="A24" s="183" t="s">
        <v>169</v>
      </c>
      <c r="B24" s="682" t="s">
        <v>170</v>
      </c>
      <c r="C24" s="302" t="s">
        <v>165</v>
      </c>
      <c r="D24" s="302">
        <v>2004</v>
      </c>
      <c r="E24" s="302">
        <v>2013</v>
      </c>
      <c r="F24" s="684" t="s">
        <v>166</v>
      </c>
      <c r="G24" s="684"/>
      <c r="H24" s="684"/>
      <c r="I24" s="163">
        <f>SUM(I25:I27)</f>
        <v>25098602</v>
      </c>
      <c r="J24" s="427">
        <f>SUM(J25:J27)</f>
        <v>7948196</v>
      </c>
      <c r="K24" s="427">
        <f>SUM(K25:K27)</f>
        <v>-4357294</v>
      </c>
      <c r="L24" s="427">
        <f>J24+K24</f>
        <v>3590902</v>
      </c>
      <c r="M24" s="163">
        <f>SUM(M25:M27)</f>
        <v>18235000</v>
      </c>
      <c r="N24" s="225">
        <v>0</v>
      </c>
      <c r="O24" s="162">
        <v>0</v>
      </c>
      <c r="P24" s="162">
        <v>0</v>
      </c>
      <c r="Q24" s="152">
        <f t="shared" si="7"/>
        <v>21825902</v>
      </c>
      <c r="R24" s="23">
        <f>Q25+Q26+Q27</f>
        <v>21825902</v>
      </c>
    </row>
    <row r="25" spans="1:18" s="19" customFormat="1" ht="23.25" customHeight="1">
      <c r="A25" s="190"/>
      <c r="B25" s="683"/>
      <c r="C25" s="303"/>
      <c r="D25" s="303"/>
      <c r="E25" s="303"/>
      <c r="F25" s="164" t="s">
        <v>167</v>
      </c>
      <c r="G25" s="164" t="s">
        <v>168</v>
      </c>
      <c r="H25" s="164">
        <v>6050</v>
      </c>
      <c r="I25" s="165">
        <f>L25+M25+3272700</f>
        <v>5543602</v>
      </c>
      <c r="J25" s="429">
        <v>1948196</v>
      </c>
      <c r="K25" s="429">
        <v>-357294</v>
      </c>
      <c r="L25" s="435">
        <f t="shared" si="6"/>
        <v>1590902</v>
      </c>
      <c r="M25" s="166">
        <v>680000</v>
      </c>
      <c r="N25" s="167"/>
      <c r="O25" s="167"/>
      <c r="P25" s="167"/>
      <c r="Q25" s="168">
        <f t="shared" si="7"/>
        <v>2270902</v>
      </c>
      <c r="R25" s="23">
        <f>J24+K24</f>
        <v>3590902</v>
      </c>
    </row>
    <row r="26" spans="1:17" s="19" customFormat="1" ht="23.25" customHeight="1">
      <c r="A26" s="190"/>
      <c r="B26" s="319"/>
      <c r="C26" s="303"/>
      <c r="D26" s="303"/>
      <c r="E26" s="303"/>
      <c r="F26" s="169"/>
      <c r="G26" s="169"/>
      <c r="H26" s="169">
        <v>6058</v>
      </c>
      <c r="I26" s="170">
        <f>L26+M26</f>
        <v>16235000</v>
      </c>
      <c r="J26" s="430">
        <v>3600000</v>
      </c>
      <c r="K26" s="430">
        <v>-2600000</v>
      </c>
      <c r="L26" s="436">
        <f t="shared" si="6"/>
        <v>1000000</v>
      </c>
      <c r="M26" s="171">
        <v>15235000</v>
      </c>
      <c r="N26" s="172"/>
      <c r="O26" s="172"/>
      <c r="P26" s="172"/>
      <c r="Q26" s="173">
        <f t="shared" si="7"/>
        <v>16235000</v>
      </c>
    </row>
    <row r="27" spans="1:17" s="19" customFormat="1" ht="23.25" customHeight="1">
      <c r="A27" s="304"/>
      <c r="B27" s="318"/>
      <c r="C27" s="306"/>
      <c r="D27" s="306"/>
      <c r="E27" s="305"/>
      <c r="F27" s="174"/>
      <c r="G27" s="174"/>
      <c r="H27" s="174">
        <v>6059</v>
      </c>
      <c r="I27" s="175">
        <f>L27+M27</f>
        <v>3320000</v>
      </c>
      <c r="J27" s="431">
        <v>2400000</v>
      </c>
      <c r="K27" s="431">
        <v>-1400000</v>
      </c>
      <c r="L27" s="437">
        <f t="shared" si="6"/>
        <v>1000000</v>
      </c>
      <c r="M27" s="176">
        <v>2320000</v>
      </c>
      <c r="N27" s="177"/>
      <c r="O27" s="177"/>
      <c r="P27" s="177"/>
      <c r="Q27" s="178">
        <f t="shared" si="7"/>
        <v>3320000</v>
      </c>
    </row>
    <row r="28" spans="1:17" s="19" customFormat="1" ht="51.75" customHeight="1">
      <c r="A28" s="304" t="s">
        <v>239</v>
      </c>
      <c r="B28" s="320" t="s">
        <v>247</v>
      </c>
      <c r="C28" s="325" t="s">
        <v>165</v>
      </c>
      <c r="D28" s="305">
        <v>2011</v>
      </c>
      <c r="E28" s="305">
        <v>2012</v>
      </c>
      <c r="F28" s="327" t="s">
        <v>167</v>
      </c>
      <c r="G28" s="327" t="s">
        <v>168</v>
      </c>
      <c r="H28" s="305">
        <v>6050</v>
      </c>
      <c r="I28" s="314">
        <f>L28+3641</f>
        <v>129101</v>
      </c>
      <c r="J28" s="432">
        <v>125460</v>
      </c>
      <c r="K28" s="432"/>
      <c r="L28" s="427">
        <f t="shared" si="6"/>
        <v>125460</v>
      </c>
      <c r="M28" s="315"/>
      <c r="N28" s="316"/>
      <c r="O28" s="316"/>
      <c r="P28" s="316"/>
      <c r="Q28" s="440">
        <f>SUM(L28:P28)</f>
        <v>125460</v>
      </c>
    </row>
    <row r="29" spans="1:17" s="19" customFormat="1" ht="50.25" customHeight="1">
      <c r="A29" s="304" t="s">
        <v>240</v>
      </c>
      <c r="B29" s="320" t="s">
        <v>248</v>
      </c>
      <c r="C29" s="325" t="s">
        <v>165</v>
      </c>
      <c r="D29" s="305">
        <v>2011</v>
      </c>
      <c r="E29" s="305">
        <v>2012</v>
      </c>
      <c r="F29" s="327" t="s">
        <v>167</v>
      </c>
      <c r="G29" s="327" t="s">
        <v>168</v>
      </c>
      <c r="H29" s="305">
        <v>6050</v>
      </c>
      <c r="I29" s="314">
        <f>L29+3604</f>
        <v>247937</v>
      </c>
      <c r="J29" s="432">
        <v>244333</v>
      </c>
      <c r="K29" s="432"/>
      <c r="L29" s="427">
        <f t="shared" si="6"/>
        <v>244333</v>
      </c>
      <c r="M29" s="315"/>
      <c r="N29" s="316"/>
      <c r="O29" s="316"/>
      <c r="P29" s="316"/>
      <c r="Q29" s="178">
        <f>SUM(L29:P29)</f>
        <v>244333</v>
      </c>
    </row>
    <row r="30" spans="1:17" s="19" customFormat="1" ht="35.25" customHeight="1">
      <c r="A30" s="304" t="s">
        <v>245</v>
      </c>
      <c r="B30" s="321" t="s">
        <v>358</v>
      </c>
      <c r="C30" s="449" t="s">
        <v>165</v>
      </c>
      <c r="D30" s="305">
        <v>2012</v>
      </c>
      <c r="E30" s="305">
        <v>2016</v>
      </c>
      <c r="F30" s="305">
        <v>900</v>
      </c>
      <c r="G30" s="305">
        <v>90001</v>
      </c>
      <c r="H30" s="305">
        <v>6050</v>
      </c>
      <c r="I30" s="314">
        <f>Q30</f>
        <v>298000</v>
      </c>
      <c r="J30" s="432">
        <v>98000</v>
      </c>
      <c r="K30" s="432"/>
      <c r="L30" s="427">
        <f t="shared" si="6"/>
        <v>98000</v>
      </c>
      <c r="M30" s="315"/>
      <c r="N30" s="316"/>
      <c r="O30" s="315">
        <v>50000</v>
      </c>
      <c r="P30" s="315">
        <v>150000</v>
      </c>
      <c r="Q30" s="178">
        <f>SUM(L30:P30)</f>
        <v>298000</v>
      </c>
    </row>
    <row r="31" spans="1:17" s="19" customFormat="1" ht="33.75" customHeight="1">
      <c r="A31" s="304" t="s">
        <v>246</v>
      </c>
      <c r="B31" s="320" t="s">
        <v>193</v>
      </c>
      <c r="C31" s="444" t="s">
        <v>274</v>
      </c>
      <c r="D31" s="305">
        <v>2011</v>
      </c>
      <c r="E31" s="305">
        <v>2012</v>
      </c>
      <c r="F31" s="305">
        <v>900</v>
      </c>
      <c r="G31" s="305">
        <v>90001</v>
      </c>
      <c r="H31" s="305">
        <v>6050</v>
      </c>
      <c r="I31" s="314">
        <f>L31+844</f>
        <v>2344906</v>
      </c>
      <c r="J31" s="432">
        <v>2340000</v>
      </c>
      <c r="K31" s="432">
        <v>4062</v>
      </c>
      <c r="L31" s="427">
        <f t="shared" si="6"/>
        <v>2344062</v>
      </c>
      <c r="M31" s="315"/>
      <c r="N31" s="316"/>
      <c r="O31" s="316"/>
      <c r="P31" s="316"/>
      <c r="Q31" s="178">
        <f>SUM(L31:P31)</f>
        <v>2344062</v>
      </c>
    </row>
    <row r="32" spans="1:17" s="19" customFormat="1" ht="42.75" customHeight="1" thickBot="1">
      <c r="A32" s="304" t="s">
        <v>259</v>
      </c>
      <c r="B32" s="456" t="s">
        <v>359</v>
      </c>
      <c r="C32" s="455" t="s">
        <v>274</v>
      </c>
      <c r="D32" s="305">
        <v>2012</v>
      </c>
      <c r="E32" s="305">
        <v>2016</v>
      </c>
      <c r="F32" s="305">
        <v>900</v>
      </c>
      <c r="G32" s="305">
        <v>90001</v>
      </c>
      <c r="H32" s="305">
        <v>6050</v>
      </c>
      <c r="I32" s="314">
        <f>Q32</f>
        <v>337515</v>
      </c>
      <c r="J32" s="432">
        <v>50000</v>
      </c>
      <c r="K32" s="432">
        <v>-12485</v>
      </c>
      <c r="L32" s="427">
        <f t="shared" si="6"/>
        <v>37515</v>
      </c>
      <c r="M32" s="315"/>
      <c r="N32" s="316"/>
      <c r="O32" s="315">
        <v>20000</v>
      </c>
      <c r="P32" s="315">
        <v>280000</v>
      </c>
      <c r="Q32" s="178">
        <f>SUM(L32:P32)</f>
        <v>337515</v>
      </c>
    </row>
    <row r="33" spans="1:17" s="19" customFormat="1" ht="19.5" customHeight="1">
      <c r="A33" s="661" t="s">
        <v>112</v>
      </c>
      <c r="B33" s="665" t="s">
        <v>144</v>
      </c>
      <c r="C33" s="669" t="s">
        <v>145</v>
      </c>
      <c r="D33" s="672" t="s">
        <v>230</v>
      </c>
      <c r="E33" s="672"/>
      <c r="F33" s="672" t="s">
        <v>146</v>
      </c>
      <c r="G33" s="672"/>
      <c r="H33" s="672"/>
      <c r="I33" s="674" t="s">
        <v>147</v>
      </c>
      <c r="J33" s="679" t="s">
        <v>307</v>
      </c>
      <c r="K33" s="679"/>
      <c r="L33" s="679"/>
      <c r="M33" s="679"/>
      <c r="N33" s="679"/>
      <c r="O33" s="679"/>
      <c r="P33" s="679"/>
      <c r="Q33" s="652" t="s">
        <v>148</v>
      </c>
    </row>
    <row r="34" spans="1:17" s="19" customFormat="1" ht="11.25" customHeight="1">
      <c r="A34" s="662"/>
      <c r="B34" s="666"/>
      <c r="C34" s="670"/>
      <c r="D34" s="673"/>
      <c r="E34" s="673"/>
      <c r="F34" s="673"/>
      <c r="G34" s="673"/>
      <c r="H34" s="673"/>
      <c r="I34" s="659"/>
      <c r="J34" s="656">
        <v>2012</v>
      </c>
      <c r="K34" s="657"/>
      <c r="L34" s="657"/>
      <c r="M34" s="658">
        <v>2013</v>
      </c>
      <c r="N34" s="658">
        <v>2014</v>
      </c>
      <c r="O34" s="658">
        <v>2015</v>
      </c>
      <c r="P34" s="658">
        <v>2016</v>
      </c>
      <c r="Q34" s="653"/>
    </row>
    <row r="35" spans="1:17" s="19" customFormat="1" ht="9.75" customHeight="1">
      <c r="A35" s="663"/>
      <c r="B35" s="667"/>
      <c r="C35" s="671"/>
      <c r="D35" s="658" t="s">
        <v>149</v>
      </c>
      <c r="E35" s="658" t="s">
        <v>150</v>
      </c>
      <c r="F35" s="676" t="s">
        <v>151</v>
      </c>
      <c r="G35" s="676" t="s">
        <v>152</v>
      </c>
      <c r="H35" s="676" t="s">
        <v>153</v>
      </c>
      <c r="I35" s="675"/>
      <c r="J35" s="656"/>
      <c r="K35" s="657"/>
      <c r="L35" s="657"/>
      <c r="M35" s="659"/>
      <c r="N35" s="659"/>
      <c r="O35" s="659"/>
      <c r="P35" s="659"/>
      <c r="Q35" s="654"/>
    </row>
    <row r="36" spans="1:17" s="19" customFormat="1" ht="20.25" customHeight="1" thickBot="1">
      <c r="A36" s="664"/>
      <c r="B36" s="668"/>
      <c r="C36" s="668"/>
      <c r="D36" s="668"/>
      <c r="E36" s="668"/>
      <c r="F36" s="668"/>
      <c r="G36" s="668"/>
      <c r="H36" s="668"/>
      <c r="I36" s="668"/>
      <c r="J36" s="425" t="s">
        <v>304</v>
      </c>
      <c r="K36" s="425" t="s">
        <v>305</v>
      </c>
      <c r="L36" s="425" t="s">
        <v>306</v>
      </c>
      <c r="M36" s="660"/>
      <c r="N36" s="660"/>
      <c r="O36" s="660"/>
      <c r="P36" s="660"/>
      <c r="Q36" s="655"/>
    </row>
    <row r="37" spans="1:17" s="19" customFormat="1" ht="47.25" customHeight="1">
      <c r="A37" s="304" t="s">
        <v>264</v>
      </c>
      <c r="B37" s="320" t="s">
        <v>360</v>
      </c>
      <c r="C37" s="444" t="s">
        <v>274</v>
      </c>
      <c r="D37" s="305">
        <v>2012</v>
      </c>
      <c r="E37" s="305">
        <v>2016</v>
      </c>
      <c r="F37" s="305">
        <v>900</v>
      </c>
      <c r="G37" s="305">
        <v>90001</v>
      </c>
      <c r="H37" s="305">
        <v>6050</v>
      </c>
      <c r="I37" s="314">
        <f>Q37</f>
        <v>345510</v>
      </c>
      <c r="J37" s="432">
        <v>50000</v>
      </c>
      <c r="K37" s="432">
        <v>-4490</v>
      </c>
      <c r="L37" s="427">
        <f t="shared" si="6"/>
        <v>45510</v>
      </c>
      <c r="M37" s="315"/>
      <c r="N37" s="316"/>
      <c r="O37" s="315">
        <v>20000</v>
      </c>
      <c r="P37" s="315">
        <v>280000</v>
      </c>
      <c r="Q37" s="178">
        <f>SUM(L37:P37)</f>
        <v>345510</v>
      </c>
    </row>
    <row r="38" spans="1:19" s="31" customFormat="1" ht="30.75" customHeight="1">
      <c r="A38" s="334" t="s">
        <v>171</v>
      </c>
      <c r="B38" s="335" t="s">
        <v>172</v>
      </c>
      <c r="C38" s="300" t="s">
        <v>162</v>
      </c>
      <c r="D38" s="300">
        <v>2009</v>
      </c>
      <c r="E38" s="300">
        <v>2015</v>
      </c>
      <c r="F38" s="681" t="s">
        <v>232</v>
      </c>
      <c r="G38" s="681"/>
      <c r="H38" s="681"/>
      <c r="I38" s="180">
        <f aca="true" t="shared" si="8" ref="I38:Q38">SUM(I39:I41,I42:I46)</f>
        <v>14109061</v>
      </c>
      <c r="J38" s="180">
        <f t="shared" si="8"/>
        <v>2475285</v>
      </c>
      <c r="K38" s="180">
        <f t="shared" si="8"/>
        <v>0</v>
      </c>
      <c r="L38" s="180">
        <f t="shared" si="8"/>
        <v>2475285</v>
      </c>
      <c r="M38" s="180">
        <f t="shared" si="8"/>
        <v>5945000</v>
      </c>
      <c r="N38" s="180">
        <f t="shared" si="8"/>
        <v>2600000</v>
      </c>
      <c r="O38" s="180">
        <f t="shared" si="8"/>
        <v>2800000</v>
      </c>
      <c r="P38" s="180">
        <f t="shared" si="8"/>
        <v>0</v>
      </c>
      <c r="Q38" s="180">
        <f t="shared" si="8"/>
        <v>13820285</v>
      </c>
      <c r="R38" s="37">
        <f>SUM(L38:P38)</f>
        <v>13820285</v>
      </c>
      <c r="S38" s="37">
        <f>R38-Q38</f>
        <v>0</v>
      </c>
    </row>
    <row r="39" spans="1:19" s="31" customFormat="1" ht="48" customHeight="1">
      <c r="A39" s="160" t="s">
        <v>173</v>
      </c>
      <c r="B39" s="207" t="s">
        <v>195</v>
      </c>
      <c r="C39" s="325" t="s">
        <v>175</v>
      </c>
      <c r="D39" s="325">
        <v>2012</v>
      </c>
      <c r="E39" s="325">
        <v>2014</v>
      </c>
      <c r="F39" s="325">
        <v>700</v>
      </c>
      <c r="G39" s="325">
        <v>70005</v>
      </c>
      <c r="H39" s="325">
        <v>6050</v>
      </c>
      <c r="I39" s="48">
        <f>L39+M39+N39</f>
        <v>2542000</v>
      </c>
      <c r="J39" s="433">
        <v>97000</v>
      </c>
      <c r="K39" s="433"/>
      <c r="L39" s="427">
        <f t="shared" si="6"/>
        <v>97000</v>
      </c>
      <c r="M39" s="48">
        <v>445000</v>
      </c>
      <c r="N39" s="163">
        <v>2000000</v>
      </c>
      <c r="O39" s="326">
        <v>0</v>
      </c>
      <c r="P39" s="326">
        <v>0</v>
      </c>
      <c r="Q39" s="152">
        <f aca="true" t="shared" si="9" ref="Q39:Q46">SUM(L39:P39)</f>
        <v>2542000</v>
      </c>
      <c r="R39" s="37"/>
      <c r="S39" s="37"/>
    </row>
    <row r="40" spans="1:18" s="31" customFormat="1" ht="42.75" customHeight="1">
      <c r="A40" s="190" t="s">
        <v>176</v>
      </c>
      <c r="B40" s="399" t="s">
        <v>229</v>
      </c>
      <c r="C40" s="409" t="s">
        <v>175</v>
      </c>
      <c r="D40" s="409">
        <v>2010</v>
      </c>
      <c r="E40" s="409">
        <v>2013</v>
      </c>
      <c r="F40" s="164">
        <v>852</v>
      </c>
      <c r="G40" s="164">
        <v>85219</v>
      </c>
      <c r="H40" s="164">
        <v>6050</v>
      </c>
      <c r="I40" s="165">
        <f>L40+M40+70070</f>
        <v>1370070</v>
      </c>
      <c r="J40" s="429">
        <v>800000</v>
      </c>
      <c r="K40" s="429"/>
      <c r="L40" s="427">
        <f t="shared" si="6"/>
        <v>800000</v>
      </c>
      <c r="M40" s="167">
        <v>500000</v>
      </c>
      <c r="N40" s="167"/>
      <c r="O40" s="167"/>
      <c r="P40" s="167"/>
      <c r="Q40" s="152">
        <f t="shared" si="9"/>
        <v>1300000</v>
      </c>
      <c r="R40" s="37"/>
    </row>
    <row r="41" spans="1:18" s="31" customFormat="1" ht="39" customHeight="1">
      <c r="A41" s="160" t="s">
        <v>177</v>
      </c>
      <c r="B41" s="321" t="s">
        <v>249</v>
      </c>
      <c r="C41" s="325" t="s">
        <v>175</v>
      </c>
      <c r="D41" s="325">
        <v>2011</v>
      </c>
      <c r="E41" s="325">
        <v>2012</v>
      </c>
      <c r="F41" s="325">
        <v>900</v>
      </c>
      <c r="G41" s="325">
        <v>90015</v>
      </c>
      <c r="H41" s="325">
        <v>6050</v>
      </c>
      <c r="I41" s="48">
        <f>L41+9645</f>
        <v>151645</v>
      </c>
      <c r="J41" s="433">
        <v>142000</v>
      </c>
      <c r="K41" s="433"/>
      <c r="L41" s="427">
        <f t="shared" si="6"/>
        <v>142000</v>
      </c>
      <c r="M41" s="163"/>
      <c r="N41" s="326">
        <v>0</v>
      </c>
      <c r="O41" s="326">
        <v>0</v>
      </c>
      <c r="P41" s="326">
        <v>0</v>
      </c>
      <c r="Q41" s="152">
        <f t="shared" si="9"/>
        <v>142000</v>
      </c>
      <c r="R41" s="37"/>
    </row>
    <row r="42" spans="1:17" s="19" customFormat="1" ht="29.25" customHeight="1">
      <c r="A42" s="160" t="s">
        <v>231</v>
      </c>
      <c r="B42" s="402" t="s">
        <v>174</v>
      </c>
      <c r="C42" s="400" t="s">
        <v>175</v>
      </c>
      <c r="D42" s="305">
        <v>2010</v>
      </c>
      <c r="E42" s="305">
        <v>2014</v>
      </c>
      <c r="F42" s="400">
        <v>921</v>
      </c>
      <c r="G42" s="400">
        <v>92109</v>
      </c>
      <c r="H42" s="400">
        <v>6050</v>
      </c>
      <c r="I42" s="48">
        <f>L42+M42+N42+4880</f>
        <v>1504880</v>
      </c>
      <c r="J42" s="429">
        <v>150000</v>
      </c>
      <c r="K42" s="429"/>
      <c r="L42" s="433">
        <f aca="true" t="shared" si="10" ref="L42:L51">J42+K42</f>
        <v>150000</v>
      </c>
      <c r="M42" s="166">
        <v>1000000</v>
      </c>
      <c r="N42" s="166">
        <v>350000</v>
      </c>
      <c r="O42" s="167"/>
      <c r="P42" s="167"/>
      <c r="Q42" s="152">
        <f t="shared" si="9"/>
        <v>1500000</v>
      </c>
    </row>
    <row r="43" spans="1:17" s="19" customFormat="1" ht="31.5" customHeight="1">
      <c r="A43" s="160" t="s">
        <v>241</v>
      </c>
      <c r="B43" s="49" t="s">
        <v>370</v>
      </c>
      <c r="C43" s="400" t="s">
        <v>277</v>
      </c>
      <c r="D43" s="400">
        <v>2010</v>
      </c>
      <c r="E43" s="400">
        <v>2012</v>
      </c>
      <c r="F43" s="400">
        <v>921</v>
      </c>
      <c r="G43" s="400">
        <v>92109</v>
      </c>
      <c r="H43" s="400">
        <v>6050</v>
      </c>
      <c r="I43" s="48">
        <f>L43+M43+N43+6541</f>
        <v>42826</v>
      </c>
      <c r="J43" s="429">
        <v>36285</v>
      </c>
      <c r="K43" s="429"/>
      <c r="L43" s="433">
        <f t="shared" si="10"/>
        <v>36285</v>
      </c>
      <c r="M43" s="166"/>
      <c r="N43" s="166"/>
      <c r="O43" s="167"/>
      <c r="P43" s="167"/>
      <c r="Q43" s="152">
        <f t="shared" si="9"/>
        <v>36285</v>
      </c>
    </row>
    <row r="44" spans="1:17" s="19" customFormat="1" ht="33.75" customHeight="1">
      <c r="A44" s="160" t="s">
        <v>242</v>
      </c>
      <c r="B44" s="49" t="s">
        <v>178</v>
      </c>
      <c r="C44" s="400" t="s">
        <v>175</v>
      </c>
      <c r="D44" s="400">
        <v>2009</v>
      </c>
      <c r="E44" s="400">
        <v>2015</v>
      </c>
      <c r="F44" s="400">
        <v>921</v>
      </c>
      <c r="G44" s="400">
        <v>92109</v>
      </c>
      <c r="H44" s="400">
        <v>6050</v>
      </c>
      <c r="I44" s="48">
        <f>O44+132980</f>
        <v>2932980</v>
      </c>
      <c r="J44" s="434"/>
      <c r="K44" s="434"/>
      <c r="L44" s="433">
        <f t="shared" si="10"/>
        <v>0</v>
      </c>
      <c r="M44" s="181"/>
      <c r="N44" s="182"/>
      <c r="O44" s="310">
        <v>2800000</v>
      </c>
      <c r="P44" s="182"/>
      <c r="Q44" s="152">
        <f t="shared" si="9"/>
        <v>2800000</v>
      </c>
    </row>
    <row r="45" spans="1:17" s="19" customFormat="1" ht="33.75" customHeight="1">
      <c r="A45" s="160" t="s">
        <v>250</v>
      </c>
      <c r="B45" s="49" t="s">
        <v>179</v>
      </c>
      <c r="C45" s="470" t="s">
        <v>175</v>
      </c>
      <c r="D45" s="470">
        <v>2010</v>
      </c>
      <c r="E45" s="470">
        <v>2014</v>
      </c>
      <c r="F45" s="470">
        <v>921</v>
      </c>
      <c r="G45" s="470">
        <v>92109</v>
      </c>
      <c r="H45" s="470">
        <v>6050</v>
      </c>
      <c r="I45" s="48">
        <f>L45+M45+N45+64660</f>
        <v>1964660</v>
      </c>
      <c r="J45" s="429">
        <v>150000</v>
      </c>
      <c r="K45" s="429"/>
      <c r="L45" s="433">
        <f>J45+K45</f>
        <v>150000</v>
      </c>
      <c r="M45" s="166">
        <v>1500000</v>
      </c>
      <c r="N45" s="166">
        <v>250000</v>
      </c>
      <c r="O45" s="167"/>
      <c r="P45" s="167"/>
      <c r="Q45" s="152">
        <f t="shared" si="9"/>
        <v>1900000</v>
      </c>
    </row>
    <row r="46" spans="1:17" s="19" customFormat="1" ht="25.5" customHeight="1">
      <c r="A46" s="160" t="s">
        <v>361</v>
      </c>
      <c r="B46" s="49" t="s">
        <v>363</v>
      </c>
      <c r="C46" s="470" t="s">
        <v>362</v>
      </c>
      <c r="D46" s="400">
        <v>2012</v>
      </c>
      <c r="E46" s="400">
        <v>2013</v>
      </c>
      <c r="F46" s="400">
        <v>921</v>
      </c>
      <c r="G46" s="400">
        <v>92109</v>
      </c>
      <c r="H46" s="400">
        <v>6050</v>
      </c>
      <c r="I46" s="48">
        <f>L46+M46+N46</f>
        <v>3600000</v>
      </c>
      <c r="J46" s="429">
        <v>1100000</v>
      </c>
      <c r="K46" s="429"/>
      <c r="L46" s="433">
        <f t="shared" si="10"/>
        <v>1100000</v>
      </c>
      <c r="M46" s="166">
        <v>2500000</v>
      </c>
      <c r="N46" s="167"/>
      <c r="O46" s="167"/>
      <c r="P46" s="167"/>
      <c r="Q46" s="152">
        <f t="shared" si="9"/>
        <v>3600000</v>
      </c>
    </row>
    <row r="47" spans="1:18" s="31" customFormat="1" ht="27" customHeight="1">
      <c r="A47" s="331" t="s">
        <v>180</v>
      </c>
      <c r="B47" s="332" t="s">
        <v>181</v>
      </c>
      <c r="C47" s="324" t="s">
        <v>162</v>
      </c>
      <c r="D47" s="324">
        <v>2006</v>
      </c>
      <c r="E47" s="324">
        <v>2015</v>
      </c>
      <c r="F47" s="324"/>
      <c r="G47" s="324"/>
      <c r="H47" s="324"/>
      <c r="I47" s="180">
        <f>I48+I56+I57</f>
        <v>97471085</v>
      </c>
      <c r="J47" s="333">
        <f>J48+J56+J57</f>
        <v>27397000</v>
      </c>
      <c r="K47" s="333">
        <f>K48+K56+K57</f>
        <v>-700000</v>
      </c>
      <c r="L47" s="333">
        <f t="shared" si="10"/>
        <v>26697000</v>
      </c>
      <c r="M47" s="333">
        <f>M48+M56+M57</f>
        <v>26700000</v>
      </c>
      <c r="N47" s="333">
        <f>N48+N56+N57</f>
        <v>11400000</v>
      </c>
      <c r="O47" s="333">
        <f>O48+O56+O57</f>
        <v>29000000</v>
      </c>
      <c r="P47" s="333">
        <f>P48+P56+P57</f>
        <v>0</v>
      </c>
      <c r="Q47" s="333">
        <f>Q48+Q56+Q57</f>
        <v>93797000</v>
      </c>
      <c r="R47" s="37">
        <f>SUM(L47:P47)</f>
        <v>93797000</v>
      </c>
    </row>
    <row r="48" spans="1:18" s="19" customFormat="1" ht="48" customHeight="1" thickBot="1">
      <c r="A48" s="183" t="s">
        <v>182</v>
      </c>
      <c r="B48" s="179" t="s">
        <v>226</v>
      </c>
      <c r="C48" s="328" t="s">
        <v>165</v>
      </c>
      <c r="D48" s="329">
        <v>2006</v>
      </c>
      <c r="E48" s="329">
        <v>2015</v>
      </c>
      <c r="F48" s="680" t="s">
        <v>166</v>
      </c>
      <c r="G48" s="680"/>
      <c r="H48" s="680"/>
      <c r="I48" s="330">
        <f>SUM(I49:I55)</f>
        <v>95071024</v>
      </c>
      <c r="J48" s="465">
        <f aca="true" t="shared" si="11" ref="J48:Q48">SUM(J49:J55)</f>
        <v>26760000</v>
      </c>
      <c r="K48" s="465">
        <f t="shared" si="11"/>
        <v>-700000</v>
      </c>
      <c r="L48" s="465">
        <f t="shared" si="10"/>
        <v>26060000</v>
      </c>
      <c r="M48" s="330">
        <f t="shared" si="11"/>
        <v>25000000</v>
      </c>
      <c r="N48" s="330">
        <f t="shared" si="11"/>
        <v>11400000</v>
      </c>
      <c r="O48" s="330">
        <f t="shared" si="11"/>
        <v>29000000</v>
      </c>
      <c r="P48" s="330">
        <f t="shared" si="11"/>
        <v>0</v>
      </c>
      <c r="Q48" s="330">
        <f t="shared" si="11"/>
        <v>91460000</v>
      </c>
      <c r="R48" s="23">
        <f>Q48+Q56+Q57</f>
        <v>93797000</v>
      </c>
    </row>
    <row r="49" spans="1:17" s="19" customFormat="1" ht="25.5" customHeight="1">
      <c r="A49" s="184"/>
      <c r="B49" s="294" t="s">
        <v>183</v>
      </c>
      <c r="C49" s="185"/>
      <c r="D49" s="185"/>
      <c r="E49" s="185"/>
      <c r="F49" s="185">
        <v>801</v>
      </c>
      <c r="G49" s="185">
        <v>80101</v>
      </c>
      <c r="H49" s="185">
        <v>6050</v>
      </c>
      <c r="I49" s="186">
        <f>L49+M49+3611024</f>
        <v>54671024</v>
      </c>
      <c r="J49" s="466">
        <v>13760000</v>
      </c>
      <c r="K49" s="466">
        <v>12300000</v>
      </c>
      <c r="L49" s="466">
        <f t="shared" si="10"/>
        <v>26060000</v>
      </c>
      <c r="M49" s="187">
        <v>25000000</v>
      </c>
      <c r="N49" s="188"/>
      <c r="O49" s="188"/>
      <c r="P49" s="188"/>
      <c r="Q49" s="189">
        <f>SUM(L49:P49)</f>
        <v>51060000</v>
      </c>
    </row>
    <row r="50" spans="1:17" s="19" customFormat="1" ht="25.5" customHeight="1">
      <c r="A50" s="190"/>
      <c r="B50" s="295" t="s">
        <v>408</v>
      </c>
      <c r="C50" s="169"/>
      <c r="D50" s="169"/>
      <c r="E50" s="169"/>
      <c r="F50" s="169"/>
      <c r="G50" s="169"/>
      <c r="H50" s="169">
        <v>6058</v>
      </c>
      <c r="I50" s="170">
        <f>L50</f>
        <v>0</v>
      </c>
      <c r="J50" s="430">
        <v>10000000</v>
      </c>
      <c r="K50" s="430">
        <v>-10000000</v>
      </c>
      <c r="L50" s="430">
        <f t="shared" si="10"/>
        <v>0</v>
      </c>
      <c r="M50" s="171"/>
      <c r="N50" s="172"/>
      <c r="O50" s="172"/>
      <c r="P50" s="172"/>
      <c r="Q50" s="173">
        <f aca="true" t="shared" si="12" ref="Q50:Q57">SUM(L50:P50)</f>
        <v>0</v>
      </c>
    </row>
    <row r="51" spans="1:17" s="19" customFormat="1" ht="25.5" customHeight="1" thickBot="1">
      <c r="A51" s="191"/>
      <c r="B51" s="192"/>
      <c r="C51" s="193"/>
      <c r="D51" s="193"/>
      <c r="E51" s="193"/>
      <c r="F51" s="193"/>
      <c r="G51" s="193"/>
      <c r="H51" s="193">
        <v>6059</v>
      </c>
      <c r="I51" s="194">
        <f>L51+M51</f>
        <v>0</v>
      </c>
      <c r="J51" s="467">
        <v>3000000</v>
      </c>
      <c r="K51" s="467">
        <v>-3000000</v>
      </c>
      <c r="L51" s="467">
        <f t="shared" si="10"/>
        <v>0</v>
      </c>
      <c r="M51" s="195"/>
      <c r="N51" s="196"/>
      <c r="O51" s="196"/>
      <c r="P51" s="196"/>
      <c r="Q51" s="197">
        <f t="shared" si="12"/>
        <v>0</v>
      </c>
    </row>
    <row r="52" spans="1:17" s="19" customFormat="1" ht="20.25" customHeight="1">
      <c r="A52" s="184"/>
      <c r="B52" s="401" t="s">
        <v>184</v>
      </c>
      <c r="C52" s="198"/>
      <c r="D52" s="198"/>
      <c r="E52" s="198"/>
      <c r="F52" s="198"/>
      <c r="G52" s="198"/>
      <c r="H52" s="198">
        <v>6058</v>
      </c>
      <c r="I52" s="199">
        <f>SUM(J52:O52)</f>
        <v>4000000</v>
      </c>
      <c r="J52" s="468"/>
      <c r="K52" s="468"/>
      <c r="L52" s="468"/>
      <c r="M52" s="199"/>
      <c r="N52" s="198"/>
      <c r="O52" s="199">
        <v>4000000</v>
      </c>
      <c r="P52" s="200"/>
      <c r="Q52" s="189">
        <f t="shared" si="12"/>
        <v>4000000</v>
      </c>
    </row>
    <row r="53" spans="1:17" s="19" customFormat="1" ht="25.5" customHeight="1" thickBot="1">
      <c r="A53" s="190"/>
      <c r="B53" s="401" t="s">
        <v>278</v>
      </c>
      <c r="C53" s="201"/>
      <c r="D53" s="201"/>
      <c r="E53" s="201"/>
      <c r="F53" s="201"/>
      <c r="G53" s="201"/>
      <c r="H53" s="201">
        <v>6059</v>
      </c>
      <c r="I53" s="202">
        <f>SUM(J53:O53)</f>
        <v>16400000</v>
      </c>
      <c r="J53" s="469"/>
      <c r="K53" s="469"/>
      <c r="L53" s="469"/>
      <c r="M53" s="202"/>
      <c r="N53" s="202">
        <v>6400000</v>
      </c>
      <c r="O53" s="202">
        <v>10000000</v>
      </c>
      <c r="P53" s="203"/>
      <c r="Q53" s="197">
        <f t="shared" si="12"/>
        <v>16400000</v>
      </c>
    </row>
    <row r="54" spans="1:17" s="19" customFormat="1" ht="25.5" customHeight="1">
      <c r="A54" s="184"/>
      <c r="B54" s="412" t="s">
        <v>185</v>
      </c>
      <c r="C54" s="185"/>
      <c r="D54" s="185"/>
      <c r="E54" s="185"/>
      <c r="F54" s="185"/>
      <c r="G54" s="185"/>
      <c r="H54" s="185">
        <v>6058</v>
      </c>
      <c r="I54" s="186">
        <f>SUM(J54:O54)</f>
        <v>5000000</v>
      </c>
      <c r="J54" s="466"/>
      <c r="K54" s="466"/>
      <c r="L54" s="466"/>
      <c r="M54" s="186"/>
      <c r="N54" s="186"/>
      <c r="O54" s="186">
        <v>5000000</v>
      </c>
      <c r="P54" s="188"/>
      <c r="Q54" s="189">
        <f t="shared" si="12"/>
        <v>5000000</v>
      </c>
    </row>
    <row r="55" spans="1:17" s="19" customFormat="1" ht="24.75" customHeight="1" thickBot="1">
      <c r="A55" s="191"/>
      <c r="B55" s="192" t="s">
        <v>279</v>
      </c>
      <c r="C55" s="193"/>
      <c r="D55" s="193"/>
      <c r="E55" s="193"/>
      <c r="F55" s="193"/>
      <c r="G55" s="193"/>
      <c r="H55" s="193">
        <v>6059</v>
      </c>
      <c r="I55" s="194">
        <f>SUM(J55:O55)</f>
        <v>15000000</v>
      </c>
      <c r="J55" s="467"/>
      <c r="K55" s="467"/>
      <c r="L55" s="467"/>
      <c r="M55" s="194"/>
      <c r="N55" s="194">
        <v>5000000</v>
      </c>
      <c r="O55" s="194">
        <v>10000000</v>
      </c>
      <c r="P55" s="196"/>
      <c r="Q55" s="197">
        <f t="shared" si="12"/>
        <v>15000000</v>
      </c>
    </row>
    <row r="56" spans="1:17" s="19" customFormat="1" ht="37.5" customHeight="1">
      <c r="A56" s="160" t="s">
        <v>233</v>
      </c>
      <c r="B56" s="207" t="s">
        <v>392</v>
      </c>
      <c r="C56" s="161" t="s">
        <v>165</v>
      </c>
      <c r="D56" s="309">
        <v>2011</v>
      </c>
      <c r="E56" s="309">
        <v>2012</v>
      </c>
      <c r="F56" s="309">
        <v>801</v>
      </c>
      <c r="G56" s="309">
        <v>80101</v>
      </c>
      <c r="H56" s="309">
        <v>6050</v>
      </c>
      <c r="I56" s="48">
        <f>L56+861</f>
        <v>330861</v>
      </c>
      <c r="J56" s="433">
        <v>330000</v>
      </c>
      <c r="K56" s="433"/>
      <c r="L56" s="433">
        <f>J56+K56</f>
        <v>330000</v>
      </c>
      <c r="M56" s="163"/>
      <c r="N56" s="308">
        <v>0</v>
      </c>
      <c r="O56" s="308">
        <v>0</v>
      </c>
      <c r="P56" s="308">
        <v>0</v>
      </c>
      <c r="Q56" s="457">
        <f t="shared" si="12"/>
        <v>330000</v>
      </c>
    </row>
    <row r="57" spans="1:17" s="19" customFormat="1" ht="30" customHeight="1">
      <c r="A57" s="160" t="s">
        <v>234</v>
      </c>
      <c r="B57" s="207" t="s">
        <v>196</v>
      </c>
      <c r="C57" s="460" t="s">
        <v>165</v>
      </c>
      <c r="D57" s="460">
        <v>2010</v>
      </c>
      <c r="E57" s="460">
        <v>2013</v>
      </c>
      <c r="F57" s="460">
        <v>801</v>
      </c>
      <c r="G57" s="460">
        <v>80104</v>
      </c>
      <c r="H57" s="460">
        <v>6050</v>
      </c>
      <c r="I57" s="48">
        <f>L57+M57+62200</f>
        <v>2069200</v>
      </c>
      <c r="J57" s="433">
        <v>307000</v>
      </c>
      <c r="K57" s="433"/>
      <c r="L57" s="433">
        <f>J57+K57</f>
        <v>307000</v>
      </c>
      <c r="M57" s="163">
        <v>1700000</v>
      </c>
      <c r="N57" s="459">
        <v>0</v>
      </c>
      <c r="O57" s="459">
        <v>0</v>
      </c>
      <c r="P57" s="459">
        <v>0</v>
      </c>
      <c r="Q57" s="152">
        <f t="shared" si="12"/>
        <v>2007000</v>
      </c>
    </row>
    <row r="58" spans="1:17" s="19" customFormat="1" ht="30" customHeight="1">
      <c r="A58" s="547"/>
      <c r="B58" s="548"/>
      <c r="C58" s="549"/>
      <c r="D58" s="549"/>
      <c r="E58" s="549"/>
      <c r="F58" s="549"/>
      <c r="G58" s="549"/>
      <c r="H58" s="549"/>
      <c r="I58" s="550"/>
      <c r="J58" s="551"/>
      <c r="K58" s="551"/>
      <c r="L58" s="551"/>
      <c r="M58" s="552"/>
      <c r="N58" s="553"/>
      <c r="O58" s="553"/>
      <c r="P58" s="553"/>
      <c r="Q58" s="554"/>
    </row>
    <row r="59" spans="1:17" s="19" customFormat="1" ht="30" customHeight="1">
      <c r="A59" s="555"/>
      <c r="B59" s="556"/>
      <c r="C59" s="557"/>
      <c r="D59" s="557"/>
      <c r="E59" s="557"/>
      <c r="F59" s="557"/>
      <c r="G59" s="557"/>
      <c r="H59" s="557"/>
      <c r="I59" s="558"/>
      <c r="J59" s="559"/>
      <c r="K59" s="559"/>
      <c r="L59" s="559"/>
      <c r="M59" s="560"/>
      <c r="N59" s="561"/>
      <c r="O59" s="561"/>
      <c r="P59" s="561"/>
      <c r="Q59" s="343"/>
    </row>
    <row r="60" spans="1:17" s="19" customFormat="1" ht="12" customHeight="1">
      <c r="A60" s="555"/>
      <c r="B60" s="556"/>
      <c r="C60" s="557"/>
      <c r="D60" s="557"/>
      <c r="E60" s="557"/>
      <c r="F60" s="557"/>
      <c r="G60" s="557"/>
      <c r="H60" s="557"/>
      <c r="I60" s="558"/>
      <c r="J60" s="559"/>
      <c r="K60" s="559"/>
      <c r="L60" s="559"/>
      <c r="M60" s="560"/>
      <c r="N60" s="561"/>
      <c r="O60" s="561"/>
      <c r="P60" s="561"/>
      <c r="Q60" s="343"/>
    </row>
    <row r="61" spans="1:25" s="35" customFormat="1" ht="30.75" customHeight="1">
      <c r="A61" s="153" t="s">
        <v>115</v>
      </c>
      <c r="B61" s="154" t="s">
        <v>186</v>
      </c>
      <c r="C61" s="311"/>
      <c r="D61" s="311" t="s">
        <v>81</v>
      </c>
      <c r="E61" s="311" t="s">
        <v>81</v>
      </c>
      <c r="F61" s="311"/>
      <c r="G61" s="311"/>
      <c r="H61" s="311"/>
      <c r="I61" s="156">
        <f aca="true" t="shared" si="13" ref="I61:N61">I62</f>
        <v>23857507</v>
      </c>
      <c r="J61" s="156">
        <f t="shared" si="13"/>
        <v>8892742</v>
      </c>
      <c r="K61" s="156">
        <f t="shared" si="13"/>
        <v>-45018</v>
      </c>
      <c r="L61" s="156">
        <f t="shared" si="13"/>
        <v>8847724</v>
      </c>
      <c r="M61" s="156">
        <f t="shared" si="13"/>
        <v>10114245</v>
      </c>
      <c r="N61" s="413">
        <f t="shared" si="13"/>
        <v>1866000</v>
      </c>
      <c r="O61" s="312">
        <v>0</v>
      </c>
      <c r="P61" s="312">
        <v>0</v>
      </c>
      <c r="Q61" s="313">
        <f>SUM(L61:P61)</f>
        <v>20827969</v>
      </c>
      <c r="R61" s="19"/>
      <c r="S61" s="19"/>
      <c r="T61" s="19"/>
      <c r="U61" s="19"/>
      <c r="V61" s="19"/>
      <c r="W61" s="19"/>
      <c r="X61" s="19"/>
      <c r="Y61" s="19"/>
    </row>
    <row r="62" spans="1:18" s="38" customFormat="1" ht="18.75" customHeight="1">
      <c r="A62" s="204"/>
      <c r="B62" s="205" t="s">
        <v>156</v>
      </c>
      <c r="C62" s="206"/>
      <c r="D62" s="206" t="s">
        <v>81</v>
      </c>
      <c r="E62" s="206" t="s">
        <v>81</v>
      </c>
      <c r="F62" s="206"/>
      <c r="G62" s="206"/>
      <c r="H62" s="206"/>
      <c r="I62" s="163">
        <f>I63</f>
        <v>23857507</v>
      </c>
      <c r="J62" s="427">
        <f aca="true" t="shared" si="14" ref="J62:Q62">J63</f>
        <v>8892742</v>
      </c>
      <c r="K62" s="427">
        <f t="shared" si="14"/>
        <v>-45018</v>
      </c>
      <c r="L62" s="427">
        <f t="shared" si="14"/>
        <v>8847724</v>
      </c>
      <c r="M62" s="163">
        <f t="shared" si="14"/>
        <v>10114245</v>
      </c>
      <c r="N62" s="163">
        <f t="shared" si="14"/>
        <v>1866000</v>
      </c>
      <c r="O62" s="163">
        <f t="shared" si="14"/>
        <v>86000</v>
      </c>
      <c r="P62" s="163">
        <f t="shared" si="14"/>
        <v>650000</v>
      </c>
      <c r="Q62" s="163">
        <f t="shared" si="14"/>
        <v>21563969</v>
      </c>
      <c r="R62" s="297"/>
    </row>
    <row r="63" spans="1:18" s="38" customFormat="1" ht="19.5" customHeight="1">
      <c r="A63" s="340" t="s">
        <v>187</v>
      </c>
      <c r="B63" s="341" t="s">
        <v>188</v>
      </c>
      <c r="C63" s="342" t="s">
        <v>162</v>
      </c>
      <c r="D63" s="324">
        <v>2009</v>
      </c>
      <c r="E63" s="324">
        <v>2016</v>
      </c>
      <c r="F63" s="333"/>
      <c r="G63" s="333"/>
      <c r="H63" s="333"/>
      <c r="I63" s="333">
        <f aca="true" t="shared" si="15" ref="I63:Q63">SUM(I64:I83,I84:I93)</f>
        <v>23857507</v>
      </c>
      <c r="J63" s="333">
        <f t="shared" si="15"/>
        <v>8892742</v>
      </c>
      <c r="K63" s="333">
        <f t="shared" si="15"/>
        <v>-45018</v>
      </c>
      <c r="L63" s="333">
        <f t="shared" si="15"/>
        <v>8847724</v>
      </c>
      <c r="M63" s="333">
        <f t="shared" si="15"/>
        <v>10114245</v>
      </c>
      <c r="N63" s="333">
        <f t="shared" si="15"/>
        <v>1866000</v>
      </c>
      <c r="O63" s="333">
        <f t="shared" si="15"/>
        <v>86000</v>
      </c>
      <c r="P63" s="333">
        <f t="shared" si="15"/>
        <v>650000</v>
      </c>
      <c r="Q63" s="333">
        <f t="shared" si="15"/>
        <v>21563969</v>
      </c>
      <c r="R63" s="297">
        <f>SUM(Q64:Q95)</f>
        <v>22820919</v>
      </c>
    </row>
    <row r="64" spans="1:18" s="38" customFormat="1" ht="30" customHeight="1">
      <c r="A64" s="403" t="s">
        <v>189</v>
      </c>
      <c r="B64" s="404" t="s">
        <v>319</v>
      </c>
      <c r="C64" s="325" t="s">
        <v>175</v>
      </c>
      <c r="D64" s="325">
        <v>2012</v>
      </c>
      <c r="E64" s="325">
        <v>2013</v>
      </c>
      <c r="F64" s="48">
        <v>600</v>
      </c>
      <c r="G64" s="48" t="s">
        <v>190</v>
      </c>
      <c r="H64" s="48">
        <v>6050</v>
      </c>
      <c r="I64" s="48">
        <f>L64+M64</f>
        <v>85000</v>
      </c>
      <c r="J64" s="433">
        <v>10000</v>
      </c>
      <c r="K64" s="433"/>
      <c r="L64" s="433">
        <f>J64+K64</f>
        <v>10000</v>
      </c>
      <c r="M64" s="163">
        <v>75000</v>
      </c>
      <c r="N64" s="163"/>
      <c r="O64" s="163"/>
      <c r="P64" s="163"/>
      <c r="Q64" s="152">
        <f aca="true" t="shared" si="16" ref="Q64:Q83">SUM(L64:P64)</f>
        <v>85000</v>
      </c>
      <c r="R64" s="297">
        <f>L63+M63+N63+O63+P63</f>
        <v>21563969</v>
      </c>
    </row>
    <row r="65" spans="1:18" s="38" customFormat="1" ht="30" customHeight="1">
      <c r="A65" s="403" t="s">
        <v>191</v>
      </c>
      <c r="B65" s="489" t="s">
        <v>383</v>
      </c>
      <c r="C65" s="470" t="s">
        <v>175</v>
      </c>
      <c r="D65" s="470">
        <v>2012</v>
      </c>
      <c r="E65" s="470">
        <v>2013</v>
      </c>
      <c r="F65" s="48">
        <v>600</v>
      </c>
      <c r="G65" s="48">
        <v>60016</v>
      </c>
      <c r="H65" s="48">
        <v>6050</v>
      </c>
      <c r="I65" s="48">
        <f>L65+M65</f>
        <v>85000</v>
      </c>
      <c r="J65" s="433">
        <v>5000</v>
      </c>
      <c r="K65" s="433"/>
      <c r="L65" s="433">
        <f>J65+K65</f>
        <v>5000</v>
      </c>
      <c r="M65" s="163">
        <v>80000</v>
      </c>
      <c r="N65" s="163"/>
      <c r="O65" s="163"/>
      <c r="P65" s="163"/>
      <c r="Q65" s="152">
        <f t="shared" si="16"/>
        <v>85000</v>
      </c>
      <c r="R65" s="297"/>
    </row>
    <row r="66" spans="1:18" s="38" customFormat="1" ht="37.5" customHeight="1">
      <c r="A66" s="403" t="s">
        <v>192</v>
      </c>
      <c r="B66" s="404" t="s">
        <v>364</v>
      </c>
      <c r="C66" s="452" t="s">
        <v>175</v>
      </c>
      <c r="D66" s="452">
        <v>2012</v>
      </c>
      <c r="E66" s="452">
        <v>2013</v>
      </c>
      <c r="F66" s="48">
        <v>600</v>
      </c>
      <c r="G66" s="48" t="s">
        <v>190</v>
      </c>
      <c r="H66" s="48">
        <v>6050</v>
      </c>
      <c r="I66" s="48">
        <f>Q66</f>
        <v>0</v>
      </c>
      <c r="J66" s="433">
        <v>45018</v>
      </c>
      <c r="K66" s="433">
        <v>-45018</v>
      </c>
      <c r="L66" s="433">
        <f>J66+K66</f>
        <v>0</v>
      </c>
      <c r="M66" s="163"/>
      <c r="N66" s="163"/>
      <c r="O66" s="163"/>
      <c r="P66" s="163"/>
      <c r="Q66" s="152">
        <f t="shared" si="16"/>
        <v>0</v>
      </c>
      <c r="R66" s="297"/>
    </row>
    <row r="67" spans="1:17" s="38" customFormat="1" ht="30" customHeight="1">
      <c r="A67" s="403" t="s">
        <v>194</v>
      </c>
      <c r="B67" s="405" t="s">
        <v>320</v>
      </c>
      <c r="C67" s="325" t="s">
        <v>175</v>
      </c>
      <c r="D67" s="325">
        <v>2009</v>
      </c>
      <c r="E67" s="325">
        <v>2013</v>
      </c>
      <c r="F67" s="48">
        <v>600</v>
      </c>
      <c r="G67" s="48" t="s">
        <v>190</v>
      </c>
      <c r="H67" s="48">
        <v>6050</v>
      </c>
      <c r="I67" s="48">
        <f>L67+M67+541582</f>
        <v>8736782</v>
      </c>
      <c r="J67" s="433">
        <v>3500000</v>
      </c>
      <c r="K67" s="433"/>
      <c r="L67" s="433">
        <f aca="true" t="shared" si="17" ref="L67:L89">J67+K67</f>
        <v>3500000</v>
      </c>
      <c r="M67" s="48">
        <v>4695200</v>
      </c>
      <c r="N67" s="163"/>
      <c r="O67" s="163"/>
      <c r="P67" s="163"/>
      <c r="Q67" s="152">
        <f t="shared" si="16"/>
        <v>8195200</v>
      </c>
    </row>
    <row r="68" spans="1:17" s="38" customFormat="1" ht="29.25" customHeight="1">
      <c r="A68" s="403" t="s">
        <v>251</v>
      </c>
      <c r="B68" s="406" t="s">
        <v>338</v>
      </c>
      <c r="C68" s="325" t="s">
        <v>175</v>
      </c>
      <c r="D68" s="325">
        <v>2009</v>
      </c>
      <c r="E68" s="325">
        <v>2014</v>
      </c>
      <c r="F68" s="48">
        <v>600</v>
      </c>
      <c r="G68" s="48" t="s">
        <v>190</v>
      </c>
      <c r="H68" s="48">
        <v>6050</v>
      </c>
      <c r="I68" s="48">
        <f>L68+M68+N68+150269</f>
        <v>1060269</v>
      </c>
      <c r="J68" s="433">
        <v>10000</v>
      </c>
      <c r="K68" s="433"/>
      <c r="L68" s="433">
        <f t="shared" si="17"/>
        <v>10000</v>
      </c>
      <c r="M68" s="163">
        <v>200000</v>
      </c>
      <c r="N68" s="163">
        <v>700000</v>
      </c>
      <c r="O68" s="163"/>
      <c r="P68" s="163"/>
      <c r="Q68" s="152">
        <f t="shared" si="16"/>
        <v>910000</v>
      </c>
    </row>
    <row r="69" spans="1:17" s="38" customFormat="1" ht="39" customHeight="1">
      <c r="A69" s="403" t="s">
        <v>243</v>
      </c>
      <c r="B69" s="320" t="s">
        <v>398</v>
      </c>
      <c r="C69" s="325" t="s">
        <v>175</v>
      </c>
      <c r="D69" s="325">
        <v>2009</v>
      </c>
      <c r="E69" s="325">
        <v>2013</v>
      </c>
      <c r="F69" s="48">
        <v>600</v>
      </c>
      <c r="G69" s="48" t="s">
        <v>190</v>
      </c>
      <c r="H69" s="48">
        <v>6050</v>
      </c>
      <c r="I69" s="48">
        <f>L69+M69+22814</f>
        <v>597814</v>
      </c>
      <c r="J69" s="433">
        <v>20295</v>
      </c>
      <c r="K69" s="433"/>
      <c r="L69" s="433">
        <f t="shared" si="17"/>
        <v>20295</v>
      </c>
      <c r="M69" s="48">
        <v>554705</v>
      </c>
      <c r="N69" s="163"/>
      <c r="O69" s="163"/>
      <c r="P69" s="163"/>
      <c r="Q69" s="152">
        <f t="shared" si="16"/>
        <v>575000</v>
      </c>
    </row>
    <row r="70" spans="1:17" s="38" customFormat="1" ht="39" customHeight="1">
      <c r="A70" s="403" t="s">
        <v>244</v>
      </c>
      <c r="B70" s="406" t="s">
        <v>393</v>
      </c>
      <c r="C70" s="470" t="s">
        <v>175</v>
      </c>
      <c r="D70" s="470">
        <v>2012</v>
      </c>
      <c r="E70" s="470">
        <v>2013</v>
      </c>
      <c r="F70" s="48">
        <v>600</v>
      </c>
      <c r="G70" s="48" t="s">
        <v>190</v>
      </c>
      <c r="H70" s="48">
        <v>6050</v>
      </c>
      <c r="I70" s="48">
        <f>L70+M70+N70</f>
        <v>55000</v>
      </c>
      <c r="J70" s="433">
        <v>5000</v>
      </c>
      <c r="K70" s="433"/>
      <c r="L70" s="433">
        <f>J70+K70</f>
        <v>5000</v>
      </c>
      <c r="M70" s="163">
        <v>50000</v>
      </c>
      <c r="N70" s="163"/>
      <c r="O70" s="163"/>
      <c r="P70" s="163"/>
      <c r="Q70" s="152">
        <f t="shared" si="16"/>
        <v>55000</v>
      </c>
    </row>
    <row r="71" spans="1:17" s="38" customFormat="1" ht="30" customHeight="1">
      <c r="A71" s="403" t="s">
        <v>252</v>
      </c>
      <c r="B71" s="321" t="s">
        <v>399</v>
      </c>
      <c r="C71" s="400" t="s">
        <v>175</v>
      </c>
      <c r="D71" s="400">
        <v>2012</v>
      </c>
      <c r="E71" s="400">
        <v>2013</v>
      </c>
      <c r="F71" s="48">
        <v>600</v>
      </c>
      <c r="G71" s="48">
        <v>60016</v>
      </c>
      <c r="H71" s="48">
        <v>6050</v>
      </c>
      <c r="I71" s="48">
        <f>L71+M71</f>
        <v>110000</v>
      </c>
      <c r="J71" s="433">
        <v>10000</v>
      </c>
      <c r="K71" s="433"/>
      <c r="L71" s="433">
        <f t="shared" si="17"/>
        <v>10000</v>
      </c>
      <c r="M71" s="48">
        <v>100000</v>
      </c>
      <c r="N71" s="163"/>
      <c r="O71" s="163"/>
      <c r="P71" s="163"/>
      <c r="Q71" s="152">
        <f t="shared" si="16"/>
        <v>110000</v>
      </c>
    </row>
    <row r="72" spans="1:17" s="38" customFormat="1" ht="29.25" customHeight="1">
      <c r="A72" s="403" t="s">
        <v>253</v>
      </c>
      <c r="B72" s="321" t="s">
        <v>384</v>
      </c>
      <c r="C72" s="470" t="s">
        <v>175</v>
      </c>
      <c r="D72" s="470">
        <v>2012</v>
      </c>
      <c r="E72" s="470">
        <v>2013</v>
      </c>
      <c r="F72" s="48">
        <v>600</v>
      </c>
      <c r="G72" s="48">
        <v>60016</v>
      </c>
      <c r="H72" s="48">
        <v>6050</v>
      </c>
      <c r="I72" s="48">
        <f>L72+M72</f>
        <v>75000</v>
      </c>
      <c r="J72" s="433">
        <v>5000</v>
      </c>
      <c r="K72" s="433"/>
      <c r="L72" s="433">
        <f>J72+K72</f>
        <v>5000</v>
      </c>
      <c r="M72" s="48">
        <v>70000</v>
      </c>
      <c r="N72" s="163"/>
      <c r="O72" s="163"/>
      <c r="P72" s="163"/>
      <c r="Q72" s="152">
        <f t="shared" si="16"/>
        <v>75000</v>
      </c>
    </row>
    <row r="73" spans="1:17" s="38" customFormat="1" ht="29.25" customHeight="1">
      <c r="A73" s="403" t="s">
        <v>254</v>
      </c>
      <c r="B73" s="321" t="s">
        <v>394</v>
      </c>
      <c r="C73" s="470" t="s">
        <v>175</v>
      </c>
      <c r="D73" s="470">
        <v>2012</v>
      </c>
      <c r="E73" s="470">
        <v>2013</v>
      </c>
      <c r="F73" s="48">
        <v>600</v>
      </c>
      <c r="G73" s="48">
        <v>60016</v>
      </c>
      <c r="H73" s="48">
        <v>6050</v>
      </c>
      <c r="I73" s="48">
        <f>L73+M73</f>
        <v>65000</v>
      </c>
      <c r="J73" s="433">
        <v>5000</v>
      </c>
      <c r="K73" s="433"/>
      <c r="L73" s="433">
        <f>J73+K73</f>
        <v>5000</v>
      </c>
      <c r="M73" s="48">
        <v>60000</v>
      </c>
      <c r="N73" s="163"/>
      <c r="O73" s="163"/>
      <c r="P73" s="163"/>
      <c r="Q73" s="152">
        <f t="shared" si="16"/>
        <v>65000</v>
      </c>
    </row>
    <row r="74" spans="1:17" s="38" customFormat="1" ht="30" customHeight="1">
      <c r="A74" s="403" t="s">
        <v>280</v>
      </c>
      <c r="B74" s="472" t="s">
        <v>368</v>
      </c>
      <c r="C74" s="325" t="s">
        <v>175</v>
      </c>
      <c r="D74" s="325">
        <v>2012</v>
      </c>
      <c r="E74" s="325">
        <v>2016</v>
      </c>
      <c r="F74" s="48">
        <v>600</v>
      </c>
      <c r="G74" s="48">
        <v>60016</v>
      </c>
      <c r="H74" s="48">
        <v>6050</v>
      </c>
      <c r="I74" s="48">
        <f>L74+O74+P74</f>
        <v>230000</v>
      </c>
      <c r="J74" s="433">
        <v>60000</v>
      </c>
      <c r="K74" s="433"/>
      <c r="L74" s="433">
        <f t="shared" si="17"/>
        <v>60000</v>
      </c>
      <c r="M74" s="163"/>
      <c r="N74" s="163"/>
      <c r="O74" s="163">
        <v>20000</v>
      </c>
      <c r="P74" s="163">
        <v>150000</v>
      </c>
      <c r="Q74" s="152">
        <f t="shared" si="16"/>
        <v>230000</v>
      </c>
    </row>
    <row r="75" spans="1:17" s="38" customFormat="1" ht="33.75" customHeight="1">
      <c r="A75" s="403" t="s">
        <v>281</v>
      </c>
      <c r="B75" s="320" t="s">
        <v>301</v>
      </c>
      <c r="C75" s="325" t="s">
        <v>175</v>
      </c>
      <c r="D75" s="325">
        <v>2011</v>
      </c>
      <c r="E75" s="325">
        <v>2013</v>
      </c>
      <c r="F75" s="48">
        <v>600</v>
      </c>
      <c r="G75" s="48" t="s">
        <v>190</v>
      </c>
      <c r="H75" s="48">
        <v>6050</v>
      </c>
      <c r="I75" s="48">
        <f>Q75+67650</f>
        <v>1237650</v>
      </c>
      <c r="J75" s="433">
        <v>791000</v>
      </c>
      <c r="K75" s="433"/>
      <c r="L75" s="433">
        <f t="shared" si="17"/>
        <v>791000</v>
      </c>
      <c r="M75" s="48">
        <v>379000</v>
      </c>
      <c r="N75" s="163"/>
      <c r="O75" s="163"/>
      <c r="P75" s="163"/>
      <c r="Q75" s="152">
        <f t="shared" si="16"/>
        <v>1170000</v>
      </c>
    </row>
    <row r="76" spans="1:17" s="38" customFormat="1" ht="21" customHeight="1">
      <c r="A76" s="403" t="s">
        <v>282</v>
      </c>
      <c r="B76" s="320" t="s">
        <v>290</v>
      </c>
      <c r="C76" s="400" t="s">
        <v>175</v>
      </c>
      <c r="D76" s="400">
        <v>2012</v>
      </c>
      <c r="E76" s="400">
        <v>2013</v>
      </c>
      <c r="F76" s="48">
        <v>600</v>
      </c>
      <c r="G76" s="48" t="s">
        <v>190</v>
      </c>
      <c r="H76" s="48">
        <v>6050</v>
      </c>
      <c r="I76" s="48">
        <f aca="true" t="shared" si="18" ref="I76:I81">L76+M76</f>
        <v>905000</v>
      </c>
      <c r="J76" s="433">
        <v>300000</v>
      </c>
      <c r="K76" s="434"/>
      <c r="L76" s="433">
        <f t="shared" si="17"/>
        <v>300000</v>
      </c>
      <c r="M76" s="181">
        <v>605000</v>
      </c>
      <c r="N76" s="310"/>
      <c r="O76" s="310"/>
      <c r="P76" s="310"/>
      <c r="Q76" s="152">
        <f t="shared" si="16"/>
        <v>905000</v>
      </c>
    </row>
    <row r="77" spans="1:17" s="38" customFormat="1" ht="21" customHeight="1">
      <c r="A77" s="403" t="s">
        <v>283</v>
      </c>
      <c r="B77" s="320" t="s">
        <v>291</v>
      </c>
      <c r="C77" s="400" t="s">
        <v>175</v>
      </c>
      <c r="D77" s="400">
        <v>2012</v>
      </c>
      <c r="E77" s="400">
        <v>2013</v>
      </c>
      <c r="F77" s="48">
        <v>600</v>
      </c>
      <c r="G77" s="48" t="s">
        <v>190</v>
      </c>
      <c r="H77" s="48">
        <v>6050</v>
      </c>
      <c r="I77" s="48">
        <f t="shared" si="18"/>
        <v>840000</v>
      </c>
      <c r="J77" s="433">
        <v>300000</v>
      </c>
      <c r="K77" s="434"/>
      <c r="L77" s="433">
        <f t="shared" si="17"/>
        <v>300000</v>
      </c>
      <c r="M77" s="181">
        <v>540000</v>
      </c>
      <c r="N77" s="310"/>
      <c r="O77" s="310"/>
      <c r="P77" s="310"/>
      <c r="Q77" s="152">
        <f t="shared" si="16"/>
        <v>840000</v>
      </c>
    </row>
    <row r="78" spans="1:17" s="38" customFormat="1" ht="21" customHeight="1">
      <c r="A78" s="403" t="s">
        <v>284</v>
      </c>
      <c r="B78" s="320" t="s">
        <v>292</v>
      </c>
      <c r="C78" s="400" t="s">
        <v>175</v>
      </c>
      <c r="D78" s="400">
        <v>2012</v>
      </c>
      <c r="E78" s="400">
        <v>2013</v>
      </c>
      <c r="F78" s="48">
        <v>600</v>
      </c>
      <c r="G78" s="48" t="s">
        <v>190</v>
      </c>
      <c r="H78" s="48">
        <v>6050</v>
      </c>
      <c r="I78" s="48">
        <f t="shared" si="18"/>
        <v>710000</v>
      </c>
      <c r="J78" s="433">
        <v>196000</v>
      </c>
      <c r="K78" s="434"/>
      <c r="L78" s="433">
        <f t="shared" si="17"/>
        <v>196000</v>
      </c>
      <c r="M78" s="181">
        <v>514000</v>
      </c>
      <c r="N78" s="310"/>
      <c r="O78" s="310"/>
      <c r="P78" s="310"/>
      <c r="Q78" s="152">
        <f t="shared" si="16"/>
        <v>710000</v>
      </c>
    </row>
    <row r="79" spans="1:17" s="38" customFormat="1" ht="42.75" customHeight="1">
      <c r="A79" s="403" t="s">
        <v>285</v>
      </c>
      <c r="B79" s="320" t="s">
        <v>385</v>
      </c>
      <c r="C79" s="470" t="s">
        <v>175</v>
      </c>
      <c r="D79" s="470">
        <v>2012</v>
      </c>
      <c r="E79" s="470">
        <v>2013</v>
      </c>
      <c r="F79" s="48">
        <v>600</v>
      </c>
      <c r="G79" s="48">
        <v>60016</v>
      </c>
      <c r="H79" s="48">
        <v>6050</v>
      </c>
      <c r="I79" s="48">
        <f t="shared" si="18"/>
        <v>62667</v>
      </c>
      <c r="J79" s="434">
        <v>2667</v>
      </c>
      <c r="K79" s="434"/>
      <c r="L79" s="433">
        <f>J79+K79</f>
        <v>2667</v>
      </c>
      <c r="M79" s="476">
        <v>60000</v>
      </c>
      <c r="N79" s="310"/>
      <c r="O79" s="310"/>
      <c r="P79" s="310"/>
      <c r="Q79" s="152">
        <f t="shared" si="16"/>
        <v>62667</v>
      </c>
    </row>
    <row r="80" spans="1:17" s="38" customFormat="1" ht="42.75" customHeight="1">
      <c r="A80" s="403" t="s">
        <v>302</v>
      </c>
      <c r="B80" s="320" t="s">
        <v>386</v>
      </c>
      <c r="C80" s="470" t="s">
        <v>175</v>
      </c>
      <c r="D80" s="470">
        <v>2012</v>
      </c>
      <c r="E80" s="470">
        <v>2013</v>
      </c>
      <c r="F80" s="48">
        <v>600</v>
      </c>
      <c r="G80" s="48">
        <v>60016</v>
      </c>
      <c r="H80" s="48">
        <v>6050</v>
      </c>
      <c r="I80" s="48">
        <f t="shared" si="18"/>
        <v>55000</v>
      </c>
      <c r="J80" s="434">
        <v>5000</v>
      </c>
      <c r="K80" s="434"/>
      <c r="L80" s="433">
        <f>J80+K80</f>
        <v>5000</v>
      </c>
      <c r="M80" s="486">
        <v>50000</v>
      </c>
      <c r="N80" s="310"/>
      <c r="O80" s="310"/>
      <c r="P80" s="310"/>
      <c r="Q80" s="152">
        <f t="shared" si="16"/>
        <v>55000</v>
      </c>
    </row>
    <row r="81" spans="1:17" s="38" customFormat="1" ht="37.5" customHeight="1">
      <c r="A81" s="403" t="s">
        <v>321</v>
      </c>
      <c r="B81" s="320" t="s">
        <v>387</v>
      </c>
      <c r="C81" s="470" t="s">
        <v>175</v>
      </c>
      <c r="D81" s="470">
        <v>2012</v>
      </c>
      <c r="E81" s="470">
        <v>2013</v>
      </c>
      <c r="F81" s="48">
        <v>600</v>
      </c>
      <c r="G81" s="48">
        <v>60016</v>
      </c>
      <c r="H81" s="48">
        <v>6050</v>
      </c>
      <c r="I81" s="48">
        <f t="shared" si="18"/>
        <v>75000</v>
      </c>
      <c r="J81" s="434">
        <v>5000</v>
      </c>
      <c r="K81" s="434"/>
      <c r="L81" s="433">
        <f>J81+K81</f>
        <v>5000</v>
      </c>
      <c r="M81" s="476">
        <v>70000</v>
      </c>
      <c r="N81" s="310"/>
      <c r="O81" s="310"/>
      <c r="P81" s="310"/>
      <c r="Q81" s="152">
        <f t="shared" si="16"/>
        <v>75000</v>
      </c>
    </row>
    <row r="82" spans="1:17" s="38" customFormat="1" ht="28.5" customHeight="1">
      <c r="A82" s="403" t="s">
        <v>322</v>
      </c>
      <c r="B82" s="320" t="s">
        <v>296</v>
      </c>
      <c r="C82" s="400" t="s">
        <v>175</v>
      </c>
      <c r="D82" s="400">
        <v>2012</v>
      </c>
      <c r="E82" s="400">
        <v>2014</v>
      </c>
      <c r="F82" s="48">
        <v>600</v>
      </c>
      <c r="G82" s="48" t="s">
        <v>190</v>
      </c>
      <c r="H82" s="48">
        <v>6050</v>
      </c>
      <c r="I82" s="48">
        <f>L82+M82+N82</f>
        <v>1765000</v>
      </c>
      <c r="J82" s="433">
        <v>165000</v>
      </c>
      <c r="K82" s="434"/>
      <c r="L82" s="433">
        <f t="shared" si="17"/>
        <v>165000</v>
      </c>
      <c r="M82" s="181">
        <v>600000</v>
      </c>
      <c r="N82" s="310">
        <v>1000000</v>
      </c>
      <c r="O82" s="310"/>
      <c r="P82" s="310"/>
      <c r="Q82" s="152">
        <f t="shared" si="16"/>
        <v>1765000</v>
      </c>
    </row>
    <row r="83" spans="1:17" s="38" customFormat="1" ht="33.75" customHeight="1">
      <c r="A83" s="403" t="s">
        <v>366</v>
      </c>
      <c r="B83" s="488" t="s">
        <v>276</v>
      </c>
      <c r="C83" s="470" t="s">
        <v>175</v>
      </c>
      <c r="D83" s="470">
        <v>2011</v>
      </c>
      <c r="E83" s="470">
        <v>2012</v>
      </c>
      <c r="F83" s="48">
        <v>600</v>
      </c>
      <c r="G83" s="48">
        <v>60016</v>
      </c>
      <c r="H83" s="48">
        <v>6050</v>
      </c>
      <c r="I83" s="48">
        <f>L83+M83+1070071</f>
        <v>2283971</v>
      </c>
      <c r="J83" s="433">
        <v>1213900</v>
      </c>
      <c r="K83" s="433"/>
      <c r="L83" s="433">
        <f t="shared" si="17"/>
        <v>1213900</v>
      </c>
      <c r="M83" s="48"/>
      <c r="N83" s="163"/>
      <c r="O83" s="163"/>
      <c r="P83" s="163"/>
      <c r="Q83" s="152">
        <f t="shared" si="16"/>
        <v>1213900</v>
      </c>
    </row>
    <row r="84" spans="1:17" s="38" customFormat="1" ht="22.5" customHeight="1">
      <c r="A84" s="403" t="s">
        <v>372</v>
      </c>
      <c r="B84" s="424" t="s">
        <v>389</v>
      </c>
      <c r="C84" s="423" t="s">
        <v>175</v>
      </c>
      <c r="D84" s="423">
        <v>2012</v>
      </c>
      <c r="E84" s="423">
        <v>2016</v>
      </c>
      <c r="F84" s="48">
        <v>600</v>
      </c>
      <c r="G84" s="48">
        <v>60016</v>
      </c>
      <c r="H84" s="48">
        <v>6050</v>
      </c>
      <c r="I84" s="48">
        <f>L84+P84+O84+M84</f>
        <v>280000</v>
      </c>
      <c r="J84" s="434">
        <v>5000</v>
      </c>
      <c r="K84" s="434"/>
      <c r="L84" s="433">
        <f t="shared" si="17"/>
        <v>5000</v>
      </c>
      <c r="M84" s="181">
        <v>65000</v>
      </c>
      <c r="N84" s="310"/>
      <c r="O84" s="310">
        <v>10000</v>
      </c>
      <c r="P84" s="310">
        <v>200000</v>
      </c>
      <c r="Q84" s="152">
        <f aca="true" t="shared" si="19" ref="Q84:Q92">SUM(L84:P84)</f>
        <v>280000</v>
      </c>
    </row>
    <row r="85" spans="1:17" s="38" customFormat="1" ht="33.75" customHeight="1">
      <c r="A85" s="403" t="s">
        <v>373</v>
      </c>
      <c r="B85" s="424" t="s">
        <v>390</v>
      </c>
      <c r="C85" s="455" t="s">
        <v>175</v>
      </c>
      <c r="D85" s="455">
        <v>2012</v>
      </c>
      <c r="E85" s="455">
        <v>2013</v>
      </c>
      <c r="F85" s="48">
        <v>600</v>
      </c>
      <c r="G85" s="48">
        <v>60016</v>
      </c>
      <c r="H85" s="48">
        <v>6050</v>
      </c>
      <c r="I85" s="48">
        <f>L85+M85</f>
        <v>71000</v>
      </c>
      <c r="J85" s="434">
        <v>1000</v>
      </c>
      <c r="K85" s="434"/>
      <c r="L85" s="433">
        <f>J85+K85</f>
        <v>1000</v>
      </c>
      <c r="M85" s="181">
        <v>70000</v>
      </c>
      <c r="N85" s="310"/>
      <c r="O85" s="310"/>
      <c r="P85" s="310"/>
      <c r="Q85" s="152">
        <f t="shared" si="19"/>
        <v>71000</v>
      </c>
    </row>
    <row r="86" spans="1:17" s="38" customFormat="1" ht="23.25" customHeight="1">
      <c r="A86" s="403" t="s">
        <v>374</v>
      </c>
      <c r="B86" s="405" t="s">
        <v>263</v>
      </c>
      <c r="C86" s="400" t="s">
        <v>175</v>
      </c>
      <c r="D86" s="400">
        <v>2011</v>
      </c>
      <c r="E86" s="400">
        <v>2012</v>
      </c>
      <c r="F86" s="48">
        <v>600</v>
      </c>
      <c r="G86" s="48" t="s">
        <v>190</v>
      </c>
      <c r="H86" s="48">
        <v>6050</v>
      </c>
      <c r="I86" s="48">
        <f>L86+M86+212845</f>
        <v>914375</v>
      </c>
      <c r="J86" s="433">
        <v>701530</v>
      </c>
      <c r="K86" s="433"/>
      <c r="L86" s="433">
        <f t="shared" si="17"/>
        <v>701530</v>
      </c>
      <c r="M86" s="48"/>
      <c r="N86" s="48"/>
      <c r="O86" s="48"/>
      <c r="P86" s="48"/>
      <c r="Q86" s="152">
        <f t="shared" si="19"/>
        <v>701530</v>
      </c>
    </row>
    <row r="87" spans="1:17" s="38" customFormat="1" ht="33.75" customHeight="1">
      <c r="A87" s="403" t="s">
        <v>375</v>
      </c>
      <c r="B87" s="407" t="s">
        <v>365</v>
      </c>
      <c r="C87" s="400" t="s">
        <v>175</v>
      </c>
      <c r="D87" s="400">
        <v>2012</v>
      </c>
      <c r="E87" s="400">
        <v>2016</v>
      </c>
      <c r="F87" s="48">
        <v>600</v>
      </c>
      <c r="G87" s="48" t="s">
        <v>190</v>
      </c>
      <c r="H87" s="48">
        <v>6050</v>
      </c>
      <c r="I87" s="48">
        <f>Q87</f>
        <v>410000</v>
      </c>
      <c r="J87" s="433">
        <v>100000</v>
      </c>
      <c r="K87" s="433"/>
      <c r="L87" s="433">
        <f t="shared" si="17"/>
        <v>100000</v>
      </c>
      <c r="M87" s="48"/>
      <c r="N87" s="163"/>
      <c r="O87" s="163">
        <v>10000</v>
      </c>
      <c r="P87" s="163">
        <v>300000</v>
      </c>
      <c r="Q87" s="152">
        <f t="shared" si="19"/>
        <v>410000</v>
      </c>
    </row>
    <row r="88" spans="1:17" s="38" customFormat="1" ht="28.5" customHeight="1">
      <c r="A88" s="403" t="s">
        <v>376</v>
      </c>
      <c r="B88" s="478" t="s">
        <v>371</v>
      </c>
      <c r="C88" s="470" t="s">
        <v>175</v>
      </c>
      <c r="D88" s="470">
        <v>2012</v>
      </c>
      <c r="E88" s="470">
        <v>2013</v>
      </c>
      <c r="F88" s="48">
        <v>600</v>
      </c>
      <c r="G88" s="48">
        <v>60016</v>
      </c>
      <c r="H88" s="48">
        <v>6050</v>
      </c>
      <c r="I88" s="48">
        <f>L88+M88</f>
        <v>553000</v>
      </c>
      <c r="J88" s="433">
        <v>453000</v>
      </c>
      <c r="K88" s="433"/>
      <c r="L88" s="433">
        <f>J88+K88</f>
        <v>453000</v>
      </c>
      <c r="M88" s="48">
        <v>100000</v>
      </c>
      <c r="N88" s="163"/>
      <c r="O88" s="163"/>
      <c r="P88" s="163"/>
      <c r="Q88" s="152">
        <f t="shared" si="19"/>
        <v>553000</v>
      </c>
    </row>
    <row r="89" spans="1:17" s="38" customFormat="1" ht="33.75" customHeight="1">
      <c r="A89" s="403" t="s">
        <v>377</v>
      </c>
      <c r="B89" s="477" t="s">
        <v>265</v>
      </c>
      <c r="C89" s="305" t="s">
        <v>175</v>
      </c>
      <c r="D89" s="305">
        <v>2011</v>
      </c>
      <c r="E89" s="305">
        <v>2012</v>
      </c>
      <c r="F89" s="314">
        <v>600</v>
      </c>
      <c r="G89" s="314" t="s">
        <v>190</v>
      </c>
      <c r="H89" s="314">
        <v>6050</v>
      </c>
      <c r="I89" s="314">
        <f>L89+M89+218957</f>
        <v>1089504</v>
      </c>
      <c r="J89" s="432">
        <v>870547</v>
      </c>
      <c r="K89" s="432"/>
      <c r="L89" s="432">
        <f t="shared" si="17"/>
        <v>870547</v>
      </c>
      <c r="M89" s="315"/>
      <c r="N89" s="315"/>
      <c r="O89" s="315"/>
      <c r="P89" s="315"/>
      <c r="Q89" s="440">
        <f t="shared" si="19"/>
        <v>870547</v>
      </c>
    </row>
    <row r="90" spans="1:17" s="38" customFormat="1" ht="33.75" customHeight="1">
      <c r="A90" s="403" t="s">
        <v>380</v>
      </c>
      <c r="B90" s="405" t="s">
        <v>260</v>
      </c>
      <c r="C90" s="470" t="s">
        <v>175</v>
      </c>
      <c r="D90" s="470">
        <v>2011</v>
      </c>
      <c r="E90" s="470">
        <v>2012</v>
      </c>
      <c r="F90" s="48">
        <v>600</v>
      </c>
      <c r="G90" s="48" t="s">
        <v>190</v>
      </c>
      <c r="H90" s="48">
        <v>6050</v>
      </c>
      <c r="I90" s="48">
        <f>L90+M90+9350</f>
        <v>98525</v>
      </c>
      <c r="J90" s="433">
        <v>89175</v>
      </c>
      <c r="K90" s="433"/>
      <c r="L90" s="433">
        <f>J90+K90</f>
        <v>89175</v>
      </c>
      <c r="M90" s="48"/>
      <c r="N90" s="48"/>
      <c r="O90" s="48"/>
      <c r="P90" s="48"/>
      <c r="Q90" s="152">
        <f t="shared" si="19"/>
        <v>89175</v>
      </c>
    </row>
    <row r="91" spans="1:17" s="38" customFormat="1" ht="28.5" customHeight="1">
      <c r="A91" s="403" t="s">
        <v>381</v>
      </c>
      <c r="B91" s="405" t="s">
        <v>388</v>
      </c>
      <c r="C91" s="470" t="s">
        <v>175</v>
      </c>
      <c r="D91" s="470">
        <v>2012</v>
      </c>
      <c r="E91" s="470">
        <v>2013</v>
      </c>
      <c r="F91" s="48">
        <v>600</v>
      </c>
      <c r="G91" s="48" t="s">
        <v>190</v>
      </c>
      <c r="H91" s="48">
        <v>6050</v>
      </c>
      <c r="I91" s="48">
        <f>L91+M91</f>
        <v>85000</v>
      </c>
      <c r="J91" s="433">
        <v>5000</v>
      </c>
      <c r="K91" s="433"/>
      <c r="L91" s="433">
        <f>J91+K91</f>
        <v>5000</v>
      </c>
      <c r="M91" s="48">
        <v>80000</v>
      </c>
      <c r="N91" s="48"/>
      <c r="O91" s="48"/>
      <c r="P91" s="48"/>
      <c r="Q91" s="152">
        <f t="shared" si="19"/>
        <v>85000</v>
      </c>
    </row>
    <row r="92" spans="1:17" s="38" customFormat="1" ht="52.5" customHeight="1">
      <c r="A92" s="403" t="s">
        <v>382</v>
      </c>
      <c r="B92" s="494" t="s">
        <v>397</v>
      </c>
      <c r="C92" s="470" t="s">
        <v>175</v>
      </c>
      <c r="D92" s="470">
        <v>2012</v>
      </c>
      <c r="E92" s="470">
        <v>2013</v>
      </c>
      <c r="F92" s="48">
        <v>600</v>
      </c>
      <c r="G92" s="48" t="s">
        <v>190</v>
      </c>
      <c r="H92" s="48">
        <v>6050</v>
      </c>
      <c r="I92" s="48">
        <f>L92+M92</f>
        <v>65000</v>
      </c>
      <c r="J92" s="433">
        <v>5000</v>
      </c>
      <c r="K92" s="433"/>
      <c r="L92" s="433">
        <f>J92+K92</f>
        <v>5000</v>
      </c>
      <c r="M92" s="48">
        <v>60000</v>
      </c>
      <c r="N92" s="48"/>
      <c r="O92" s="48"/>
      <c r="P92" s="48"/>
      <c r="Q92" s="152">
        <f t="shared" si="19"/>
        <v>65000</v>
      </c>
    </row>
    <row r="93" spans="1:17" s="38" customFormat="1" ht="18.75" customHeight="1">
      <c r="A93" s="685" t="s">
        <v>395</v>
      </c>
      <c r="B93" s="687" t="s">
        <v>369</v>
      </c>
      <c r="C93" s="689" t="s">
        <v>175</v>
      </c>
      <c r="D93" s="689">
        <v>2012</v>
      </c>
      <c r="E93" s="689">
        <v>2015</v>
      </c>
      <c r="F93" s="690" t="s">
        <v>166</v>
      </c>
      <c r="G93" s="691"/>
      <c r="H93" s="692"/>
      <c r="I93" s="163">
        <f>SUM(I94:I95)</f>
        <v>1256950</v>
      </c>
      <c r="J93" s="427">
        <f aca="true" t="shared" si="20" ref="J93:Q93">SUM(J94:J95)</f>
        <v>8610</v>
      </c>
      <c r="K93" s="427">
        <f t="shared" si="20"/>
        <v>0</v>
      </c>
      <c r="L93" s="427">
        <f t="shared" si="20"/>
        <v>8610</v>
      </c>
      <c r="M93" s="163">
        <f t="shared" si="20"/>
        <v>1036340</v>
      </c>
      <c r="N93" s="163">
        <f t="shared" si="20"/>
        <v>166000</v>
      </c>
      <c r="O93" s="163">
        <f t="shared" si="20"/>
        <v>46000</v>
      </c>
      <c r="P93" s="163">
        <f t="shared" si="20"/>
        <v>0</v>
      </c>
      <c r="Q93" s="163">
        <f t="shared" si="20"/>
        <v>1256950</v>
      </c>
    </row>
    <row r="94" spans="1:17" s="38" customFormat="1" ht="16.5" customHeight="1">
      <c r="A94" s="686"/>
      <c r="B94" s="688"/>
      <c r="C94" s="688"/>
      <c r="D94" s="688"/>
      <c r="E94" s="688"/>
      <c r="F94" s="693">
        <v>720</v>
      </c>
      <c r="G94" s="693">
        <v>72095</v>
      </c>
      <c r="H94" s="48">
        <v>6057</v>
      </c>
      <c r="I94" s="48">
        <f>Q94</f>
        <v>1068407</v>
      </c>
      <c r="J94" s="433">
        <v>7318</v>
      </c>
      <c r="K94" s="433"/>
      <c r="L94" s="433">
        <f>J94+K94</f>
        <v>7318</v>
      </c>
      <c r="M94" s="48">
        <v>880889</v>
      </c>
      <c r="N94" s="48">
        <v>141100</v>
      </c>
      <c r="O94" s="48">
        <v>39100</v>
      </c>
      <c r="P94" s="48"/>
      <c r="Q94" s="152">
        <f>SUM(L94:P94)</f>
        <v>1068407</v>
      </c>
    </row>
    <row r="95" spans="1:17" s="38" customFormat="1" ht="17.25" customHeight="1" thickBot="1">
      <c r="A95" s="686"/>
      <c r="B95" s="688"/>
      <c r="C95" s="688"/>
      <c r="D95" s="688"/>
      <c r="E95" s="688"/>
      <c r="F95" s="694"/>
      <c r="G95" s="694"/>
      <c r="H95" s="476">
        <v>6059</v>
      </c>
      <c r="I95" s="476">
        <f>Q95</f>
        <v>188543</v>
      </c>
      <c r="J95" s="434">
        <v>1292</v>
      </c>
      <c r="K95" s="434"/>
      <c r="L95" s="434">
        <f>J95+K95</f>
        <v>1292</v>
      </c>
      <c r="M95" s="476">
        <v>155451</v>
      </c>
      <c r="N95" s="476">
        <v>24900</v>
      </c>
      <c r="O95" s="476">
        <v>6900</v>
      </c>
      <c r="P95" s="476"/>
      <c r="Q95" s="479">
        <f>SUM(L95:P95)</f>
        <v>188543</v>
      </c>
    </row>
    <row r="96" spans="1:17" ht="71.25" customHeight="1" thickTop="1">
      <c r="A96" s="480" t="s">
        <v>197</v>
      </c>
      <c r="B96" s="481" t="s">
        <v>198</v>
      </c>
      <c r="C96" s="482"/>
      <c r="D96" s="483" t="s">
        <v>81</v>
      </c>
      <c r="E96" s="482" t="s">
        <v>81</v>
      </c>
      <c r="F96" s="482"/>
      <c r="G96" s="482"/>
      <c r="H96" s="482"/>
      <c r="I96" s="484">
        <f aca="true" t="shared" si="21" ref="I96:P96">I97</f>
        <v>41058714</v>
      </c>
      <c r="J96" s="484">
        <f t="shared" si="21"/>
        <v>15297700</v>
      </c>
      <c r="K96" s="484">
        <f t="shared" si="21"/>
        <v>166400</v>
      </c>
      <c r="L96" s="484">
        <f t="shared" si="21"/>
        <v>15464100</v>
      </c>
      <c r="M96" s="484">
        <f t="shared" si="21"/>
        <v>9391090</v>
      </c>
      <c r="N96" s="484">
        <f t="shared" si="21"/>
        <v>6033714</v>
      </c>
      <c r="O96" s="484">
        <f t="shared" si="21"/>
        <v>3761310</v>
      </c>
      <c r="P96" s="484">
        <f t="shared" si="21"/>
        <v>3558490</v>
      </c>
      <c r="Q96" s="485">
        <f>SUM(L96:P96)</f>
        <v>38208704</v>
      </c>
    </row>
    <row r="97" spans="1:18" s="30" customFormat="1" ht="25.5" customHeight="1">
      <c r="A97" s="149"/>
      <c r="B97" s="322" t="s">
        <v>155</v>
      </c>
      <c r="C97" s="345"/>
      <c r="D97" s="344" t="s">
        <v>81</v>
      </c>
      <c r="E97" s="208" t="s">
        <v>81</v>
      </c>
      <c r="F97" s="208"/>
      <c r="G97" s="208"/>
      <c r="H97" s="208"/>
      <c r="I97" s="361">
        <f>SUM(I98:I145,I146,I152,I166:I170)</f>
        <v>41058714</v>
      </c>
      <c r="J97" s="361">
        <f aca="true" t="shared" si="22" ref="J97:Q97">SUM(J98:J145,J146,J152,J166:J170)</f>
        <v>15297700</v>
      </c>
      <c r="K97" s="361">
        <f t="shared" si="22"/>
        <v>166400</v>
      </c>
      <c r="L97" s="361">
        <f t="shared" si="22"/>
        <v>15464100</v>
      </c>
      <c r="M97" s="361">
        <f t="shared" si="22"/>
        <v>9391090</v>
      </c>
      <c r="N97" s="361">
        <f t="shared" si="22"/>
        <v>6033714</v>
      </c>
      <c r="O97" s="361">
        <f t="shared" si="22"/>
        <v>3761310</v>
      </c>
      <c r="P97" s="361">
        <f>SUM(P98:P145,P146,P152,P166:P170)</f>
        <v>3558490</v>
      </c>
      <c r="Q97" s="361">
        <f t="shared" si="22"/>
        <v>38208704</v>
      </c>
      <c r="R97" s="296">
        <f>SUM(L97:P97)</f>
        <v>38208704</v>
      </c>
    </row>
    <row r="98" spans="1:18" ht="27" customHeight="1">
      <c r="A98" s="125" t="s">
        <v>158</v>
      </c>
      <c r="B98" s="323" t="s">
        <v>311</v>
      </c>
      <c r="C98" s="346" t="s">
        <v>175</v>
      </c>
      <c r="D98" s="344">
        <v>2012</v>
      </c>
      <c r="E98" s="344">
        <v>2016</v>
      </c>
      <c r="F98" s="344">
        <v>600</v>
      </c>
      <c r="G98" s="344">
        <v>60004</v>
      </c>
      <c r="H98" s="344">
        <v>2310</v>
      </c>
      <c r="I98" s="43">
        <v>3000000</v>
      </c>
      <c r="J98" s="43">
        <v>600000</v>
      </c>
      <c r="K98" s="43"/>
      <c r="L98" s="43">
        <f aca="true" t="shared" si="23" ref="L98:L126">J98+K98</f>
        <v>600000</v>
      </c>
      <c r="M98" s="43">
        <v>600000</v>
      </c>
      <c r="N98" s="43">
        <v>600000</v>
      </c>
      <c r="O98" s="43">
        <v>600000</v>
      </c>
      <c r="P98" s="43">
        <v>600000</v>
      </c>
      <c r="Q98" s="152">
        <f aca="true" t="shared" si="24" ref="Q98:Q141">SUM(L98:P98)</f>
        <v>3000000</v>
      </c>
      <c r="R98" s="14">
        <f>Q97-R97</f>
        <v>0</v>
      </c>
    </row>
    <row r="99" spans="1:18" ht="25.5" customHeight="1">
      <c r="A99" s="125" t="s">
        <v>115</v>
      </c>
      <c r="B99" s="323" t="s">
        <v>312</v>
      </c>
      <c r="C99" s="346" t="s">
        <v>175</v>
      </c>
      <c r="D99" s="344">
        <v>2012</v>
      </c>
      <c r="E99" s="344">
        <v>2016</v>
      </c>
      <c r="F99" s="344">
        <v>600</v>
      </c>
      <c r="G99" s="344">
        <v>60004</v>
      </c>
      <c r="H99" s="344">
        <v>2310</v>
      </c>
      <c r="I99" s="43">
        <f>Q99</f>
        <v>5850000</v>
      </c>
      <c r="J99" s="43">
        <v>1170000</v>
      </c>
      <c r="K99" s="43"/>
      <c r="L99" s="43">
        <f t="shared" si="23"/>
        <v>1170000</v>
      </c>
      <c r="M99" s="43">
        <v>1170000</v>
      </c>
      <c r="N99" s="43">
        <v>1170000</v>
      </c>
      <c r="O99" s="43">
        <v>1170000</v>
      </c>
      <c r="P99" s="43">
        <v>1170000</v>
      </c>
      <c r="Q99" s="152">
        <f t="shared" si="24"/>
        <v>5850000</v>
      </c>
      <c r="R99" s="14">
        <f>J97+K97</f>
        <v>15464100</v>
      </c>
    </row>
    <row r="100" spans="1:17" ht="25.5" customHeight="1">
      <c r="A100" s="125" t="s">
        <v>117</v>
      </c>
      <c r="B100" s="323" t="s">
        <v>379</v>
      </c>
      <c r="C100" s="470" t="s">
        <v>175</v>
      </c>
      <c r="D100" s="487">
        <v>2012</v>
      </c>
      <c r="E100" s="487">
        <v>2016</v>
      </c>
      <c r="F100" s="487">
        <v>600</v>
      </c>
      <c r="G100" s="487">
        <v>60004</v>
      </c>
      <c r="H100" s="487">
        <v>4300</v>
      </c>
      <c r="I100" s="43">
        <f>Q100</f>
        <v>5076748</v>
      </c>
      <c r="J100" s="43">
        <v>766748</v>
      </c>
      <c r="K100" s="43"/>
      <c r="L100" s="43">
        <f t="shared" si="23"/>
        <v>766748</v>
      </c>
      <c r="M100" s="43">
        <v>800000</v>
      </c>
      <c r="N100" s="43">
        <v>1170000</v>
      </c>
      <c r="O100" s="43">
        <v>1170000</v>
      </c>
      <c r="P100" s="43">
        <v>1170000</v>
      </c>
      <c r="Q100" s="152">
        <f t="shared" si="24"/>
        <v>5076748</v>
      </c>
    </row>
    <row r="101" spans="1:17" ht="21" customHeight="1">
      <c r="A101" s="125" t="s">
        <v>119</v>
      </c>
      <c r="B101" s="323" t="s">
        <v>255</v>
      </c>
      <c r="C101" s="444" t="s">
        <v>175</v>
      </c>
      <c r="D101" s="443">
        <v>2011</v>
      </c>
      <c r="E101" s="443">
        <v>2012</v>
      </c>
      <c r="F101" s="443">
        <v>600</v>
      </c>
      <c r="G101" s="443">
        <v>60016</v>
      </c>
      <c r="H101" s="443">
        <v>4270</v>
      </c>
      <c r="I101" s="43">
        <f>Q101+200000</f>
        <v>6900000</v>
      </c>
      <c r="J101" s="43">
        <v>3700000</v>
      </c>
      <c r="K101" s="43"/>
      <c r="L101" s="43">
        <f t="shared" si="23"/>
        <v>3700000</v>
      </c>
      <c r="M101" s="43">
        <v>3000000</v>
      </c>
      <c r="N101" s="43">
        <v>0</v>
      </c>
      <c r="O101" s="43">
        <v>0</v>
      </c>
      <c r="P101" s="43">
        <v>0</v>
      </c>
      <c r="Q101" s="152">
        <f t="shared" si="24"/>
        <v>6700000</v>
      </c>
    </row>
    <row r="102" spans="1:17" ht="21" customHeight="1">
      <c r="A102" s="125" t="s">
        <v>121</v>
      </c>
      <c r="B102" s="323" t="s">
        <v>262</v>
      </c>
      <c r="C102" s="444" t="s">
        <v>175</v>
      </c>
      <c r="D102" s="443">
        <v>2011</v>
      </c>
      <c r="E102" s="443">
        <v>2012</v>
      </c>
      <c r="F102" s="443">
        <v>600</v>
      </c>
      <c r="G102" s="443">
        <v>60016</v>
      </c>
      <c r="H102" s="443">
        <v>4300</v>
      </c>
      <c r="I102" s="43">
        <v>600000</v>
      </c>
      <c r="J102" s="43">
        <v>500000</v>
      </c>
      <c r="K102" s="43"/>
      <c r="L102" s="43">
        <f t="shared" si="23"/>
        <v>500000</v>
      </c>
      <c r="M102" s="43">
        <v>0</v>
      </c>
      <c r="N102" s="43">
        <v>0</v>
      </c>
      <c r="O102" s="43">
        <v>0</v>
      </c>
      <c r="P102" s="43">
        <v>0</v>
      </c>
      <c r="Q102" s="152">
        <f t="shared" si="24"/>
        <v>500000</v>
      </c>
    </row>
    <row r="103" spans="1:17" ht="54.75" customHeight="1">
      <c r="A103" s="125" t="s">
        <v>123</v>
      </c>
      <c r="B103" s="323" t="s">
        <v>236</v>
      </c>
      <c r="C103" s="209" t="s">
        <v>165</v>
      </c>
      <c r="D103" s="415">
        <v>2011</v>
      </c>
      <c r="E103" s="415">
        <v>2012</v>
      </c>
      <c r="F103" s="415">
        <v>600</v>
      </c>
      <c r="G103" s="415">
        <v>60016</v>
      </c>
      <c r="H103" s="415">
        <v>4300</v>
      </c>
      <c r="I103" s="43">
        <v>40626</v>
      </c>
      <c r="J103" s="43">
        <v>20313</v>
      </c>
      <c r="K103" s="43"/>
      <c r="L103" s="43">
        <f t="shared" si="23"/>
        <v>20313</v>
      </c>
      <c r="M103" s="43">
        <v>0</v>
      </c>
      <c r="N103" s="43">
        <v>0</v>
      </c>
      <c r="O103" s="43">
        <v>0</v>
      </c>
      <c r="P103" s="43">
        <v>0</v>
      </c>
      <c r="Q103" s="152">
        <f t="shared" si="24"/>
        <v>20313</v>
      </c>
    </row>
    <row r="104" spans="1:17" ht="39" customHeight="1">
      <c r="A104" s="125" t="s">
        <v>125</v>
      </c>
      <c r="B104" s="323" t="s">
        <v>310</v>
      </c>
      <c r="C104" s="209" t="s">
        <v>165</v>
      </c>
      <c r="D104" s="439">
        <v>2012</v>
      </c>
      <c r="E104" s="439">
        <v>2016</v>
      </c>
      <c r="F104" s="439">
        <v>600</v>
      </c>
      <c r="G104" s="439">
        <v>60016</v>
      </c>
      <c r="H104" s="439">
        <v>4400</v>
      </c>
      <c r="I104" s="43">
        <f>Q104</f>
        <v>10753</v>
      </c>
      <c r="J104" s="43">
        <v>1833</v>
      </c>
      <c r="K104" s="43"/>
      <c r="L104" s="43">
        <f t="shared" si="23"/>
        <v>1833</v>
      </c>
      <c r="M104" s="43">
        <v>1980</v>
      </c>
      <c r="N104" s="43">
        <v>2140</v>
      </c>
      <c r="O104" s="43">
        <v>2310</v>
      </c>
      <c r="P104" s="43">
        <v>2490</v>
      </c>
      <c r="Q104" s="152">
        <f t="shared" si="24"/>
        <v>10753</v>
      </c>
    </row>
    <row r="105" spans="1:17" ht="21" customHeight="1">
      <c r="A105" s="125" t="s">
        <v>127</v>
      </c>
      <c r="B105" s="323" t="s">
        <v>313</v>
      </c>
      <c r="C105" s="446" t="s">
        <v>175</v>
      </c>
      <c r="D105" s="445">
        <v>2012</v>
      </c>
      <c r="E105" s="445">
        <v>2013</v>
      </c>
      <c r="F105" s="445">
        <v>700</v>
      </c>
      <c r="G105" s="445">
        <v>70005</v>
      </c>
      <c r="H105" s="445">
        <v>4300</v>
      </c>
      <c r="I105" s="43">
        <f>Q105</f>
        <v>2583</v>
      </c>
      <c r="J105" s="43">
        <v>1476</v>
      </c>
      <c r="K105" s="43"/>
      <c r="L105" s="43">
        <f t="shared" si="23"/>
        <v>1476</v>
      </c>
      <c r="M105" s="43">
        <v>1107</v>
      </c>
      <c r="N105" s="43">
        <v>0</v>
      </c>
      <c r="O105" s="43">
        <v>0</v>
      </c>
      <c r="P105" s="43">
        <v>0</v>
      </c>
      <c r="Q105" s="152">
        <f t="shared" si="24"/>
        <v>2583</v>
      </c>
    </row>
    <row r="106" spans="1:17" ht="26.25" customHeight="1">
      <c r="A106" s="125" t="s">
        <v>129</v>
      </c>
      <c r="B106" s="323" t="s">
        <v>235</v>
      </c>
      <c r="C106" s="470" t="s">
        <v>175</v>
      </c>
      <c r="D106" s="471">
        <v>2011</v>
      </c>
      <c r="E106" s="471">
        <v>2012</v>
      </c>
      <c r="F106" s="471">
        <v>700</v>
      </c>
      <c r="G106" s="471">
        <v>70005</v>
      </c>
      <c r="H106" s="471">
        <v>4300</v>
      </c>
      <c r="I106" s="43">
        <v>28306</v>
      </c>
      <c r="J106" s="43">
        <v>14153</v>
      </c>
      <c r="K106" s="43"/>
      <c r="L106" s="43">
        <f t="shared" si="23"/>
        <v>14153</v>
      </c>
      <c r="M106" s="43">
        <v>0</v>
      </c>
      <c r="N106" s="43">
        <v>0</v>
      </c>
      <c r="O106" s="43">
        <v>0</v>
      </c>
      <c r="P106" s="43">
        <v>0</v>
      </c>
      <c r="Q106" s="152">
        <f t="shared" si="24"/>
        <v>14153</v>
      </c>
    </row>
    <row r="107" spans="1:17" ht="21.75" customHeight="1">
      <c r="A107" s="125" t="s">
        <v>132</v>
      </c>
      <c r="B107" s="323" t="s">
        <v>367</v>
      </c>
      <c r="C107" s="470" t="s">
        <v>274</v>
      </c>
      <c r="D107" s="471">
        <v>2011</v>
      </c>
      <c r="E107" s="471">
        <v>2016</v>
      </c>
      <c r="F107" s="471">
        <v>700</v>
      </c>
      <c r="G107" s="471">
        <v>70005</v>
      </c>
      <c r="H107" s="471">
        <v>4300</v>
      </c>
      <c r="I107" s="43">
        <f>Q107</f>
        <v>150000</v>
      </c>
      <c r="J107" s="43">
        <v>20000</v>
      </c>
      <c r="K107" s="43"/>
      <c r="L107" s="43">
        <f t="shared" si="23"/>
        <v>20000</v>
      </c>
      <c r="M107" s="43">
        <v>30000</v>
      </c>
      <c r="N107" s="43">
        <v>30000</v>
      </c>
      <c r="O107" s="43">
        <v>30000</v>
      </c>
      <c r="P107" s="43">
        <v>40000</v>
      </c>
      <c r="Q107" s="152">
        <f t="shared" si="24"/>
        <v>150000</v>
      </c>
    </row>
    <row r="108" spans="1:17" ht="41.25" customHeight="1">
      <c r="A108" s="125" t="s">
        <v>136</v>
      </c>
      <c r="B108" s="323" t="s">
        <v>199</v>
      </c>
      <c r="C108" s="346" t="s">
        <v>175</v>
      </c>
      <c r="D108" s="344">
        <v>2011</v>
      </c>
      <c r="E108" s="344">
        <v>2012</v>
      </c>
      <c r="F108" s="344">
        <v>700</v>
      </c>
      <c r="G108" s="344">
        <v>70005</v>
      </c>
      <c r="H108" s="344">
        <v>4400</v>
      </c>
      <c r="I108" s="43">
        <v>44344</v>
      </c>
      <c r="J108" s="43">
        <v>22172</v>
      </c>
      <c r="K108" s="43"/>
      <c r="L108" s="43">
        <f t="shared" si="23"/>
        <v>22172</v>
      </c>
      <c r="M108" s="43">
        <v>0</v>
      </c>
      <c r="N108" s="43">
        <v>0</v>
      </c>
      <c r="O108" s="43">
        <v>0</v>
      </c>
      <c r="P108" s="43">
        <v>0</v>
      </c>
      <c r="Q108" s="152">
        <f t="shared" si="24"/>
        <v>22172</v>
      </c>
    </row>
    <row r="109" spans="1:17" ht="51.75" customHeight="1">
      <c r="A109" s="125" t="s">
        <v>138</v>
      </c>
      <c r="B109" s="323" t="s">
        <v>237</v>
      </c>
      <c r="C109" s="346" t="s">
        <v>203</v>
      </c>
      <c r="D109" s="344">
        <v>2011</v>
      </c>
      <c r="E109" s="344">
        <v>2013</v>
      </c>
      <c r="F109" s="344">
        <v>700</v>
      </c>
      <c r="G109" s="344">
        <v>70005</v>
      </c>
      <c r="H109" s="344">
        <v>4400</v>
      </c>
      <c r="I109" s="43">
        <v>252000</v>
      </c>
      <c r="J109" s="43">
        <v>108000</v>
      </c>
      <c r="K109" s="43"/>
      <c r="L109" s="43">
        <f t="shared" si="23"/>
        <v>108000</v>
      </c>
      <c r="M109" s="43">
        <v>36000</v>
      </c>
      <c r="N109" s="43">
        <v>0</v>
      </c>
      <c r="O109" s="43">
        <v>0</v>
      </c>
      <c r="P109" s="43">
        <v>0</v>
      </c>
      <c r="Q109" s="152">
        <f t="shared" si="24"/>
        <v>144000</v>
      </c>
    </row>
    <row r="110" spans="1:17" ht="39" customHeight="1">
      <c r="A110" s="125" t="s">
        <v>140</v>
      </c>
      <c r="B110" s="323" t="s">
        <v>204</v>
      </c>
      <c r="C110" s="346" t="s">
        <v>203</v>
      </c>
      <c r="D110" s="344">
        <v>2011</v>
      </c>
      <c r="E110" s="344">
        <v>2013</v>
      </c>
      <c r="F110" s="344">
        <v>700</v>
      </c>
      <c r="G110" s="344">
        <v>70005</v>
      </c>
      <c r="H110" s="344">
        <v>4400</v>
      </c>
      <c r="I110" s="43">
        <v>9000</v>
      </c>
      <c r="J110" s="43">
        <v>3600</v>
      </c>
      <c r="K110" s="43"/>
      <c r="L110" s="43">
        <f t="shared" si="23"/>
        <v>3600</v>
      </c>
      <c r="M110" s="344">
        <v>1800</v>
      </c>
      <c r="N110" s="43">
        <v>0</v>
      </c>
      <c r="O110" s="43">
        <v>0</v>
      </c>
      <c r="P110" s="43">
        <v>0</v>
      </c>
      <c r="Q110" s="152">
        <f t="shared" si="24"/>
        <v>5400</v>
      </c>
    </row>
    <row r="111" spans="1:17" ht="39" customHeight="1">
      <c r="A111" s="125" t="s">
        <v>141</v>
      </c>
      <c r="B111" s="323" t="s">
        <v>404</v>
      </c>
      <c r="C111" s="470" t="s">
        <v>203</v>
      </c>
      <c r="D111" s="473">
        <v>2012</v>
      </c>
      <c r="E111" s="473">
        <v>2013</v>
      </c>
      <c r="F111" s="473">
        <v>700</v>
      </c>
      <c r="G111" s="473">
        <v>70005</v>
      </c>
      <c r="H111" s="473">
        <v>4400</v>
      </c>
      <c r="I111" s="43">
        <f>Q111</f>
        <v>5400</v>
      </c>
      <c r="J111" s="43">
        <v>3600</v>
      </c>
      <c r="K111" s="43"/>
      <c r="L111" s="43">
        <f t="shared" si="23"/>
        <v>3600</v>
      </c>
      <c r="M111" s="473">
        <v>1800</v>
      </c>
      <c r="N111" s="43">
        <v>0</v>
      </c>
      <c r="O111" s="43">
        <v>0</v>
      </c>
      <c r="P111" s="43">
        <v>0</v>
      </c>
      <c r="Q111" s="152">
        <f t="shared" si="24"/>
        <v>5400</v>
      </c>
    </row>
    <row r="112" spans="1:17" ht="38.25" customHeight="1">
      <c r="A112" s="125" t="s">
        <v>207</v>
      </c>
      <c r="B112" s="323" t="s">
        <v>309</v>
      </c>
      <c r="C112" s="346" t="s">
        <v>203</v>
      </c>
      <c r="D112" s="344">
        <v>2012</v>
      </c>
      <c r="E112" s="344">
        <v>2016</v>
      </c>
      <c r="F112" s="344">
        <v>700</v>
      </c>
      <c r="G112" s="344">
        <v>70005</v>
      </c>
      <c r="H112" s="344">
        <v>4400</v>
      </c>
      <c r="I112" s="43">
        <f>Q112</f>
        <v>1738937</v>
      </c>
      <c r="J112" s="43">
        <v>385937</v>
      </c>
      <c r="K112" s="43"/>
      <c r="L112" s="43">
        <f t="shared" si="23"/>
        <v>385937</v>
      </c>
      <c r="M112" s="43">
        <v>369000</v>
      </c>
      <c r="N112" s="43">
        <v>369000</v>
      </c>
      <c r="O112" s="43">
        <v>369000</v>
      </c>
      <c r="P112" s="43">
        <v>246000</v>
      </c>
      <c r="Q112" s="152">
        <f t="shared" si="24"/>
        <v>1738937</v>
      </c>
    </row>
    <row r="113" spans="1:17" ht="21.75" customHeight="1">
      <c r="A113" s="125" t="s">
        <v>268</v>
      </c>
      <c r="B113" s="323" t="s">
        <v>316</v>
      </c>
      <c r="C113" s="448" t="s">
        <v>175</v>
      </c>
      <c r="D113" s="447">
        <v>2012</v>
      </c>
      <c r="E113" s="447">
        <v>2014</v>
      </c>
      <c r="F113" s="447">
        <v>700</v>
      </c>
      <c r="G113" s="447">
        <v>70005</v>
      </c>
      <c r="H113" s="447">
        <v>4400</v>
      </c>
      <c r="I113" s="43">
        <v>54255</v>
      </c>
      <c r="J113" s="43">
        <v>17555</v>
      </c>
      <c r="K113" s="43"/>
      <c r="L113" s="43">
        <f t="shared" si="23"/>
        <v>17555</v>
      </c>
      <c r="M113" s="43">
        <v>18100</v>
      </c>
      <c r="N113" s="43">
        <v>18600</v>
      </c>
      <c r="O113" s="43"/>
      <c r="P113" s="43"/>
      <c r="Q113" s="152">
        <f t="shared" si="24"/>
        <v>54255</v>
      </c>
    </row>
    <row r="114" spans="1:17" ht="21.75" customHeight="1">
      <c r="A114" s="125" t="s">
        <v>269</v>
      </c>
      <c r="B114" s="323" t="s">
        <v>303</v>
      </c>
      <c r="C114" s="398" t="s">
        <v>175</v>
      </c>
      <c r="D114" s="397">
        <v>2011</v>
      </c>
      <c r="E114" s="397">
        <v>2012</v>
      </c>
      <c r="F114" s="397">
        <v>700</v>
      </c>
      <c r="G114" s="397">
        <v>70005</v>
      </c>
      <c r="H114" s="397">
        <v>4400</v>
      </c>
      <c r="I114" s="43">
        <v>73800</v>
      </c>
      <c r="J114" s="43">
        <v>67650</v>
      </c>
      <c r="K114" s="43"/>
      <c r="L114" s="43">
        <f t="shared" si="23"/>
        <v>67650</v>
      </c>
      <c r="M114" s="43"/>
      <c r="N114" s="43"/>
      <c r="O114" s="43"/>
      <c r="P114" s="43"/>
      <c r="Q114" s="152">
        <f t="shared" si="24"/>
        <v>67650</v>
      </c>
    </row>
    <row r="115" spans="1:17" ht="21" customHeight="1">
      <c r="A115" s="125" t="s">
        <v>270</v>
      </c>
      <c r="B115" s="323" t="s">
        <v>349</v>
      </c>
      <c r="C115" s="416" t="s">
        <v>175</v>
      </c>
      <c r="D115" s="415">
        <v>2011</v>
      </c>
      <c r="E115" s="415">
        <v>2014</v>
      </c>
      <c r="F115" s="415">
        <v>700</v>
      </c>
      <c r="G115" s="415">
        <v>70005</v>
      </c>
      <c r="H115" s="415">
        <v>4400</v>
      </c>
      <c r="I115" s="43">
        <f>Q115</f>
        <v>574656</v>
      </c>
      <c r="J115" s="411">
        <v>177628</v>
      </c>
      <c r="K115" s="411">
        <v>4400</v>
      </c>
      <c r="L115" s="43">
        <f t="shared" si="23"/>
        <v>182028</v>
      </c>
      <c r="M115" s="411">
        <v>208854</v>
      </c>
      <c r="N115" s="411">
        <v>183774</v>
      </c>
      <c r="O115" s="411"/>
      <c r="P115" s="43"/>
      <c r="Q115" s="152">
        <f t="shared" si="24"/>
        <v>574656</v>
      </c>
    </row>
    <row r="116" spans="1:17" ht="21" customHeight="1">
      <c r="A116" s="125" t="s">
        <v>271</v>
      </c>
      <c r="B116" s="323" t="s">
        <v>411</v>
      </c>
      <c r="C116" s="470" t="s">
        <v>203</v>
      </c>
      <c r="D116" s="566">
        <v>2012</v>
      </c>
      <c r="E116" s="566">
        <v>2013</v>
      </c>
      <c r="F116" s="566">
        <v>700</v>
      </c>
      <c r="G116" s="566">
        <v>70005</v>
      </c>
      <c r="H116" s="566">
        <v>4590</v>
      </c>
      <c r="I116" s="43">
        <f>Q116</f>
        <v>3024338</v>
      </c>
      <c r="J116" s="411">
        <v>2824338</v>
      </c>
      <c r="K116" s="411"/>
      <c r="L116" s="43">
        <f>J116+K116</f>
        <v>2824338</v>
      </c>
      <c r="M116" s="411">
        <v>200000</v>
      </c>
      <c r="N116" s="411"/>
      <c r="O116" s="411"/>
      <c r="P116" s="43"/>
      <c r="Q116" s="152">
        <f>SUM(L116:P116)</f>
        <v>3024338</v>
      </c>
    </row>
    <row r="117" spans="1:20" ht="21.75" customHeight="1">
      <c r="A117" s="125" t="s">
        <v>272</v>
      </c>
      <c r="B117" s="417" t="s">
        <v>297</v>
      </c>
      <c r="C117" s="416" t="s">
        <v>298</v>
      </c>
      <c r="D117" s="415">
        <v>2011</v>
      </c>
      <c r="E117" s="415">
        <v>2016</v>
      </c>
      <c r="F117" s="415">
        <v>710</v>
      </c>
      <c r="G117" s="415">
        <v>71004</v>
      </c>
      <c r="H117" s="415">
        <v>4300</v>
      </c>
      <c r="I117" s="43">
        <f>Q117+101993</f>
        <v>1621185</v>
      </c>
      <c r="J117" s="43">
        <v>399192</v>
      </c>
      <c r="K117" s="43"/>
      <c r="L117" s="43">
        <f t="shared" si="23"/>
        <v>399192</v>
      </c>
      <c r="M117" s="43">
        <v>280000</v>
      </c>
      <c r="N117" s="43">
        <v>280000</v>
      </c>
      <c r="O117" s="43">
        <v>280000</v>
      </c>
      <c r="P117" s="43">
        <v>280000</v>
      </c>
      <c r="Q117" s="152">
        <f t="shared" si="24"/>
        <v>1519192</v>
      </c>
      <c r="R117" s="43">
        <v>280000</v>
      </c>
      <c r="S117" s="43"/>
      <c r="T117" s="152">
        <f>SUM(N117:R117)</f>
        <v>2639192</v>
      </c>
    </row>
    <row r="118" spans="1:20" ht="21.75" customHeight="1">
      <c r="A118" s="125" t="s">
        <v>273</v>
      </c>
      <c r="B118" s="323" t="s">
        <v>200</v>
      </c>
      <c r="C118" s="416" t="s">
        <v>201</v>
      </c>
      <c r="D118" s="415">
        <v>2011</v>
      </c>
      <c r="E118" s="415">
        <v>2013</v>
      </c>
      <c r="F118" s="415">
        <v>750</v>
      </c>
      <c r="G118" s="415">
        <v>75023</v>
      </c>
      <c r="H118" s="415">
        <v>4300</v>
      </c>
      <c r="I118" s="43">
        <v>549000</v>
      </c>
      <c r="J118" s="411">
        <v>183000</v>
      </c>
      <c r="K118" s="411"/>
      <c r="L118" s="43">
        <f t="shared" si="23"/>
        <v>183000</v>
      </c>
      <c r="M118" s="411">
        <v>183000</v>
      </c>
      <c r="N118" s="411">
        <v>0</v>
      </c>
      <c r="O118" s="411">
        <v>0</v>
      </c>
      <c r="P118" s="43">
        <v>0</v>
      </c>
      <c r="Q118" s="152">
        <f t="shared" si="24"/>
        <v>366000</v>
      </c>
      <c r="R118" s="418"/>
      <c r="S118" s="418"/>
      <c r="T118" s="343"/>
    </row>
    <row r="119" spans="1:20" ht="21.75" customHeight="1">
      <c r="A119" s="125" t="s">
        <v>288</v>
      </c>
      <c r="B119" s="323" t="s">
        <v>202</v>
      </c>
      <c r="C119" s="416" t="s">
        <v>201</v>
      </c>
      <c r="D119" s="415">
        <v>2011</v>
      </c>
      <c r="E119" s="415">
        <v>2012</v>
      </c>
      <c r="F119" s="415">
        <v>750</v>
      </c>
      <c r="G119" s="415">
        <v>75023</v>
      </c>
      <c r="H119" s="415">
        <v>4300</v>
      </c>
      <c r="I119" s="43">
        <v>8198</v>
      </c>
      <c r="J119" s="419">
        <v>4099</v>
      </c>
      <c r="K119" s="419"/>
      <c r="L119" s="43">
        <f t="shared" si="23"/>
        <v>4099</v>
      </c>
      <c r="M119" s="419">
        <v>0</v>
      </c>
      <c r="N119" s="411">
        <v>0</v>
      </c>
      <c r="O119" s="411">
        <v>0</v>
      </c>
      <c r="P119" s="43">
        <v>0</v>
      </c>
      <c r="Q119" s="152">
        <f t="shared" si="24"/>
        <v>4099</v>
      </c>
      <c r="R119" s="418"/>
      <c r="S119" s="418"/>
      <c r="T119" s="343"/>
    </row>
    <row r="120" spans="1:20" ht="38.25" customHeight="1">
      <c r="A120" s="125" t="s">
        <v>289</v>
      </c>
      <c r="B120" s="323" t="s">
        <v>238</v>
      </c>
      <c r="C120" s="416" t="s">
        <v>201</v>
      </c>
      <c r="D120" s="415">
        <v>2011</v>
      </c>
      <c r="E120" s="415">
        <v>2012</v>
      </c>
      <c r="F120" s="415">
        <v>750</v>
      </c>
      <c r="G120" s="415">
        <v>75023</v>
      </c>
      <c r="H120" s="415">
        <v>4300</v>
      </c>
      <c r="I120" s="43">
        <v>6360</v>
      </c>
      <c r="J120" s="419">
        <v>3180</v>
      </c>
      <c r="K120" s="419"/>
      <c r="L120" s="43">
        <f t="shared" si="23"/>
        <v>3180</v>
      </c>
      <c r="M120" s="419">
        <v>0</v>
      </c>
      <c r="N120" s="411">
        <v>0</v>
      </c>
      <c r="O120" s="411">
        <v>0</v>
      </c>
      <c r="P120" s="43">
        <v>0</v>
      </c>
      <c r="Q120" s="152">
        <f t="shared" si="24"/>
        <v>3180</v>
      </c>
      <c r="R120" s="418"/>
      <c r="S120" s="418"/>
      <c r="T120" s="343"/>
    </row>
    <row r="121" spans="1:20" ht="22.5" customHeight="1">
      <c r="A121" s="125" t="s">
        <v>295</v>
      </c>
      <c r="B121" s="323" t="s">
        <v>367</v>
      </c>
      <c r="C121" s="470" t="s">
        <v>274</v>
      </c>
      <c r="D121" s="471">
        <v>2011</v>
      </c>
      <c r="E121" s="471">
        <v>2016</v>
      </c>
      <c r="F121" s="471">
        <v>750</v>
      </c>
      <c r="G121" s="471">
        <v>75023</v>
      </c>
      <c r="H121" s="471">
        <v>4300</v>
      </c>
      <c r="I121" s="43">
        <f>Q121</f>
        <v>900000</v>
      </c>
      <c r="J121" s="43">
        <v>430000</v>
      </c>
      <c r="K121" s="43"/>
      <c r="L121" s="43">
        <f t="shared" si="23"/>
        <v>430000</v>
      </c>
      <c r="M121" s="43">
        <v>140000</v>
      </c>
      <c r="N121" s="43">
        <v>140000</v>
      </c>
      <c r="O121" s="43">
        <v>140000</v>
      </c>
      <c r="P121" s="43">
        <v>50000</v>
      </c>
      <c r="Q121" s="152">
        <f t="shared" si="24"/>
        <v>900000</v>
      </c>
      <c r="R121" s="418"/>
      <c r="S121" s="418"/>
      <c r="T121" s="343"/>
    </row>
    <row r="122" spans="1:20" ht="24" customHeight="1">
      <c r="A122" s="125" t="s">
        <v>299</v>
      </c>
      <c r="B122" s="323" t="s">
        <v>350</v>
      </c>
      <c r="C122" s="462" t="s">
        <v>318</v>
      </c>
      <c r="D122" s="461">
        <v>2012</v>
      </c>
      <c r="E122" s="461">
        <v>2014</v>
      </c>
      <c r="F122" s="461">
        <v>750</v>
      </c>
      <c r="G122" s="461">
        <v>75023</v>
      </c>
      <c r="H122" s="461">
        <v>4360</v>
      </c>
      <c r="I122" s="43">
        <f>Q122</f>
        <v>23800</v>
      </c>
      <c r="J122" s="411">
        <v>17050</v>
      </c>
      <c r="K122" s="419"/>
      <c r="L122" s="43">
        <f t="shared" si="23"/>
        <v>17050</v>
      </c>
      <c r="M122" s="419">
        <v>6650</v>
      </c>
      <c r="N122" s="411">
        <v>100</v>
      </c>
      <c r="O122" s="411"/>
      <c r="P122" s="43"/>
      <c r="Q122" s="152">
        <f t="shared" si="24"/>
        <v>23800</v>
      </c>
      <c r="R122" s="418"/>
      <c r="S122" s="418"/>
      <c r="T122" s="343"/>
    </row>
    <row r="123" spans="1:20" ht="23.25" customHeight="1">
      <c r="A123" s="125" t="s">
        <v>324</v>
      </c>
      <c r="B123" s="323" t="s">
        <v>317</v>
      </c>
      <c r="C123" s="460" t="s">
        <v>318</v>
      </c>
      <c r="D123" s="458">
        <v>2012</v>
      </c>
      <c r="E123" s="458">
        <v>2013</v>
      </c>
      <c r="F123" s="458">
        <v>750</v>
      </c>
      <c r="G123" s="458">
        <v>75023</v>
      </c>
      <c r="H123" s="458">
        <v>4430</v>
      </c>
      <c r="I123" s="43">
        <f>Q123</f>
        <v>34000</v>
      </c>
      <c r="J123" s="411">
        <v>17000</v>
      </c>
      <c r="K123" s="419"/>
      <c r="L123" s="43">
        <f t="shared" si="23"/>
        <v>17000</v>
      </c>
      <c r="M123" s="419">
        <v>17000</v>
      </c>
      <c r="N123" s="411"/>
      <c r="O123" s="411"/>
      <c r="P123" s="43"/>
      <c r="Q123" s="152">
        <f t="shared" si="24"/>
        <v>34000</v>
      </c>
      <c r="R123" s="418"/>
      <c r="S123" s="418"/>
      <c r="T123" s="343"/>
    </row>
    <row r="124" spans="1:20" ht="26.25" customHeight="1">
      <c r="A124" s="125" t="s">
        <v>325</v>
      </c>
      <c r="B124" s="323" t="s">
        <v>339</v>
      </c>
      <c r="C124" s="451" t="s">
        <v>318</v>
      </c>
      <c r="D124" s="450">
        <v>2012</v>
      </c>
      <c r="E124" s="450">
        <v>2014</v>
      </c>
      <c r="F124" s="450">
        <v>750</v>
      </c>
      <c r="G124" s="450">
        <v>75023</v>
      </c>
      <c r="H124" s="450">
        <v>4430</v>
      </c>
      <c r="I124" s="43">
        <f>Q124</f>
        <v>45000</v>
      </c>
      <c r="J124" s="411">
        <v>15000</v>
      </c>
      <c r="K124" s="419"/>
      <c r="L124" s="43">
        <f t="shared" si="23"/>
        <v>15000</v>
      </c>
      <c r="M124" s="419">
        <v>15000</v>
      </c>
      <c r="N124" s="411">
        <v>15000</v>
      </c>
      <c r="O124" s="411"/>
      <c r="P124" s="43"/>
      <c r="Q124" s="152">
        <f t="shared" si="24"/>
        <v>45000</v>
      </c>
      <c r="R124" s="418"/>
      <c r="S124" s="418"/>
      <c r="T124" s="343"/>
    </row>
    <row r="125" spans="1:20" ht="25.5" customHeight="1">
      <c r="A125" s="125" t="s">
        <v>326</v>
      </c>
      <c r="B125" s="417" t="s">
        <v>300</v>
      </c>
      <c r="C125" s="416" t="s">
        <v>201</v>
      </c>
      <c r="D125" s="415">
        <v>2011</v>
      </c>
      <c r="E125" s="415">
        <v>2012</v>
      </c>
      <c r="F125" s="415">
        <v>750</v>
      </c>
      <c r="G125" s="415">
        <v>75023</v>
      </c>
      <c r="H125" s="415">
        <v>4300</v>
      </c>
      <c r="I125" s="43">
        <v>79950</v>
      </c>
      <c r="J125" s="411">
        <v>73800</v>
      </c>
      <c r="K125" s="411"/>
      <c r="L125" s="43">
        <f t="shared" si="23"/>
        <v>73800</v>
      </c>
      <c r="M125" s="411"/>
      <c r="N125" s="410"/>
      <c r="O125" s="411"/>
      <c r="P125" s="43"/>
      <c r="Q125" s="152">
        <f t="shared" si="24"/>
        <v>73800</v>
      </c>
      <c r="R125" s="418"/>
      <c r="S125" s="418"/>
      <c r="T125" s="343"/>
    </row>
    <row r="126" spans="1:20" ht="24.75" customHeight="1">
      <c r="A126" s="125" t="s">
        <v>327</v>
      </c>
      <c r="B126" s="323" t="s">
        <v>314</v>
      </c>
      <c r="C126" s="446" t="s">
        <v>175</v>
      </c>
      <c r="D126" s="445">
        <v>2012</v>
      </c>
      <c r="E126" s="445">
        <v>2013</v>
      </c>
      <c r="F126" s="445">
        <v>750</v>
      </c>
      <c r="G126" s="445">
        <v>75023</v>
      </c>
      <c r="H126" s="445">
        <v>4300</v>
      </c>
      <c r="I126" s="43">
        <f aca="true" t="shared" si="25" ref="I126:I131">Q126</f>
        <v>2583</v>
      </c>
      <c r="J126" s="43">
        <v>1476</v>
      </c>
      <c r="K126" s="43"/>
      <c r="L126" s="43">
        <f t="shared" si="23"/>
        <v>1476</v>
      </c>
      <c r="M126" s="43">
        <v>1107</v>
      </c>
      <c r="N126" s="43">
        <v>0</v>
      </c>
      <c r="O126" s="43">
        <v>0</v>
      </c>
      <c r="P126" s="43">
        <v>0</v>
      </c>
      <c r="Q126" s="152">
        <f t="shared" si="24"/>
        <v>2583</v>
      </c>
      <c r="R126" s="418"/>
      <c r="S126" s="418"/>
      <c r="T126" s="343"/>
    </row>
    <row r="127" spans="1:20" ht="44.25" customHeight="1">
      <c r="A127" s="125" t="s">
        <v>328</v>
      </c>
      <c r="B127" s="323" t="s">
        <v>323</v>
      </c>
      <c r="C127" s="455" t="s">
        <v>318</v>
      </c>
      <c r="D127" s="453">
        <v>2012</v>
      </c>
      <c r="E127" s="453">
        <v>2013</v>
      </c>
      <c r="F127" s="453">
        <v>750</v>
      </c>
      <c r="G127" s="453">
        <v>75075</v>
      </c>
      <c r="H127" s="453">
        <v>4300</v>
      </c>
      <c r="I127" s="43">
        <f t="shared" si="25"/>
        <v>419510</v>
      </c>
      <c r="J127" s="43">
        <v>209755</v>
      </c>
      <c r="K127" s="43"/>
      <c r="L127" s="43">
        <f>J127</f>
        <v>209755</v>
      </c>
      <c r="M127" s="43">
        <v>209755</v>
      </c>
      <c r="N127" s="43"/>
      <c r="O127" s="43"/>
      <c r="P127" s="43"/>
      <c r="Q127" s="152">
        <f t="shared" si="24"/>
        <v>419510</v>
      </c>
      <c r="R127" s="418"/>
      <c r="S127" s="418"/>
      <c r="T127" s="343"/>
    </row>
    <row r="128" spans="1:20" ht="25.5" customHeight="1">
      <c r="A128" s="125" t="s">
        <v>329</v>
      </c>
      <c r="B128" s="323" t="s">
        <v>315</v>
      </c>
      <c r="C128" s="446" t="s">
        <v>175</v>
      </c>
      <c r="D128" s="445">
        <v>2012</v>
      </c>
      <c r="E128" s="445">
        <v>2013</v>
      </c>
      <c r="F128" s="445">
        <v>754</v>
      </c>
      <c r="G128" s="445">
        <v>75412</v>
      </c>
      <c r="H128" s="445">
        <v>4300</v>
      </c>
      <c r="I128" s="43">
        <f t="shared" si="25"/>
        <v>3813</v>
      </c>
      <c r="J128" s="43">
        <v>2952</v>
      </c>
      <c r="K128" s="43"/>
      <c r="L128" s="43">
        <f aca="true" t="shared" si="26" ref="L128:L141">J128+K128</f>
        <v>2952</v>
      </c>
      <c r="M128" s="43">
        <v>861</v>
      </c>
      <c r="N128" s="43">
        <v>0</v>
      </c>
      <c r="O128" s="43">
        <v>0</v>
      </c>
      <c r="P128" s="43">
        <v>0</v>
      </c>
      <c r="Q128" s="152">
        <f t="shared" si="24"/>
        <v>3813</v>
      </c>
      <c r="R128" s="418"/>
      <c r="S128" s="418"/>
      <c r="T128" s="343"/>
    </row>
    <row r="129" spans="1:20" ht="25.5" customHeight="1">
      <c r="A129" s="125" t="s">
        <v>330</v>
      </c>
      <c r="B129" s="323" t="s">
        <v>340</v>
      </c>
      <c r="C129" s="460" t="s">
        <v>175</v>
      </c>
      <c r="D129" s="458">
        <v>2012</v>
      </c>
      <c r="E129" s="458">
        <v>2014</v>
      </c>
      <c r="F129" s="458">
        <v>754</v>
      </c>
      <c r="G129" s="458">
        <v>75412</v>
      </c>
      <c r="H129" s="475">
        <v>4430</v>
      </c>
      <c r="I129" s="43">
        <f t="shared" si="25"/>
        <v>105000</v>
      </c>
      <c r="J129" s="43">
        <v>35000</v>
      </c>
      <c r="K129" s="43"/>
      <c r="L129" s="43">
        <f t="shared" si="26"/>
        <v>35000</v>
      </c>
      <c r="M129" s="43">
        <v>35000</v>
      </c>
      <c r="N129" s="43">
        <v>35000</v>
      </c>
      <c r="O129" s="43">
        <v>0</v>
      </c>
      <c r="P129" s="43">
        <v>0</v>
      </c>
      <c r="Q129" s="152">
        <f t="shared" si="24"/>
        <v>105000</v>
      </c>
      <c r="R129" s="418"/>
      <c r="S129" s="418"/>
      <c r="T129" s="343"/>
    </row>
    <row r="130" spans="1:20" ht="25.5" customHeight="1">
      <c r="A130" s="125" t="s">
        <v>331</v>
      </c>
      <c r="B130" s="323" t="s">
        <v>341</v>
      </c>
      <c r="C130" s="460" t="s">
        <v>175</v>
      </c>
      <c r="D130" s="458">
        <v>2012</v>
      </c>
      <c r="E130" s="458">
        <v>2013</v>
      </c>
      <c r="F130" s="458">
        <v>754</v>
      </c>
      <c r="G130" s="458">
        <v>75412</v>
      </c>
      <c r="H130" s="475">
        <v>4430</v>
      </c>
      <c r="I130" s="43">
        <f t="shared" si="25"/>
        <v>11000</v>
      </c>
      <c r="J130" s="43">
        <v>5500</v>
      </c>
      <c r="K130" s="43"/>
      <c r="L130" s="43">
        <f t="shared" si="26"/>
        <v>5500</v>
      </c>
      <c r="M130" s="43">
        <v>5500</v>
      </c>
      <c r="N130" s="43">
        <v>0</v>
      </c>
      <c r="O130" s="43">
        <v>0</v>
      </c>
      <c r="P130" s="43">
        <v>0</v>
      </c>
      <c r="Q130" s="152">
        <f t="shared" si="24"/>
        <v>11000</v>
      </c>
      <c r="R130" s="418"/>
      <c r="S130" s="418"/>
      <c r="T130" s="343"/>
    </row>
    <row r="131" spans="1:20" ht="25.5" customHeight="1">
      <c r="A131" s="125" t="s">
        <v>332</v>
      </c>
      <c r="B131" s="323" t="s">
        <v>350</v>
      </c>
      <c r="C131" s="462" t="s">
        <v>318</v>
      </c>
      <c r="D131" s="461">
        <v>2012</v>
      </c>
      <c r="E131" s="461">
        <v>2014</v>
      </c>
      <c r="F131" s="461">
        <v>754</v>
      </c>
      <c r="G131" s="461">
        <v>75023</v>
      </c>
      <c r="H131" s="461">
        <v>4360</v>
      </c>
      <c r="I131" s="43">
        <f t="shared" si="25"/>
        <v>2500</v>
      </c>
      <c r="J131" s="411">
        <v>1000</v>
      </c>
      <c r="K131" s="419"/>
      <c r="L131" s="43">
        <f t="shared" si="26"/>
        <v>1000</v>
      </c>
      <c r="M131" s="419">
        <v>1200</v>
      </c>
      <c r="N131" s="411">
        <v>300</v>
      </c>
      <c r="O131" s="411"/>
      <c r="P131" s="43"/>
      <c r="Q131" s="152">
        <f t="shared" si="24"/>
        <v>2500</v>
      </c>
      <c r="R131" s="418"/>
      <c r="S131" s="418"/>
      <c r="T131" s="343"/>
    </row>
    <row r="132" spans="1:17" ht="24.75" customHeight="1">
      <c r="A132" s="125" t="s">
        <v>333</v>
      </c>
      <c r="B132" s="323" t="s">
        <v>266</v>
      </c>
      <c r="C132" s="348" t="s">
        <v>267</v>
      </c>
      <c r="D132" s="408">
        <v>2011</v>
      </c>
      <c r="E132" s="408">
        <v>2014</v>
      </c>
      <c r="F132" s="347">
        <v>801</v>
      </c>
      <c r="G132" s="347">
        <v>80101</v>
      </c>
      <c r="H132" s="347">
        <v>4260</v>
      </c>
      <c r="I132" s="43">
        <f>SUM(J132:N132)</f>
        <v>1380000</v>
      </c>
      <c r="J132" s="43">
        <v>330000</v>
      </c>
      <c r="K132" s="43"/>
      <c r="L132" s="43">
        <f t="shared" si="26"/>
        <v>330000</v>
      </c>
      <c r="M132" s="43">
        <v>350000</v>
      </c>
      <c r="N132" s="43">
        <v>370000</v>
      </c>
      <c r="O132" s="43"/>
      <c r="P132" s="43"/>
      <c r="Q132" s="152">
        <f t="shared" si="24"/>
        <v>1050000</v>
      </c>
    </row>
    <row r="133" spans="1:17" ht="24.75" customHeight="1">
      <c r="A133" s="125" t="s">
        <v>334</v>
      </c>
      <c r="B133" s="323" t="s">
        <v>353</v>
      </c>
      <c r="C133" s="464" t="s">
        <v>267</v>
      </c>
      <c r="D133" s="463">
        <v>2012</v>
      </c>
      <c r="E133" s="463">
        <v>2014</v>
      </c>
      <c r="F133" s="463">
        <v>801</v>
      </c>
      <c r="G133" s="463">
        <v>80101</v>
      </c>
      <c r="H133" s="463">
        <v>4300</v>
      </c>
      <c r="I133" s="43">
        <f>Q133</f>
        <v>7200</v>
      </c>
      <c r="J133" s="411">
        <v>2400</v>
      </c>
      <c r="K133" s="419"/>
      <c r="L133" s="43">
        <f t="shared" si="26"/>
        <v>2400</v>
      </c>
      <c r="M133" s="419">
        <v>2400</v>
      </c>
      <c r="N133" s="411">
        <v>2400</v>
      </c>
      <c r="O133" s="411"/>
      <c r="P133" s="43"/>
      <c r="Q133" s="152">
        <f t="shared" si="24"/>
        <v>7200</v>
      </c>
    </row>
    <row r="134" spans="1:17" ht="24.75" customHeight="1">
      <c r="A134" s="125" t="s">
        <v>335</v>
      </c>
      <c r="B134" s="323" t="s">
        <v>350</v>
      </c>
      <c r="C134" s="464" t="s">
        <v>267</v>
      </c>
      <c r="D134" s="463">
        <v>2012</v>
      </c>
      <c r="E134" s="463">
        <v>2013</v>
      </c>
      <c r="F134" s="463">
        <v>801</v>
      </c>
      <c r="G134" s="463">
        <v>80101</v>
      </c>
      <c r="H134" s="463">
        <v>4360</v>
      </c>
      <c r="I134" s="43">
        <f>Q134</f>
        <v>22000</v>
      </c>
      <c r="J134" s="411">
        <v>11000</v>
      </c>
      <c r="K134" s="419"/>
      <c r="L134" s="43">
        <f t="shared" si="26"/>
        <v>11000</v>
      </c>
      <c r="M134" s="419">
        <v>11000</v>
      </c>
      <c r="N134" s="411"/>
      <c r="O134" s="411"/>
      <c r="P134" s="43"/>
      <c r="Q134" s="152">
        <f t="shared" si="24"/>
        <v>22000</v>
      </c>
    </row>
    <row r="135" spans="1:17" ht="24.75" customHeight="1">
      <c r="A135" s="125" t="s">
        <v>336</v>
      </c>
      <c r="B135" s="323" t="s">
        <v>266</v>
      </c>
      <c r="C135" s="348" t="s">
        <v>267</v>
      </c>
      <c r="D135" s="408">
        <v>2011</v>
      </c>
      <c r="E135" s="408">
        <v>2014</v>
      </c>
      <c r="F135" s="347">
        <v>801</v>
      </c>
      <c r="G135" s="347">
        <v>80104</v>
      </c>
      <c r="H135" s="347">
        <v>4260</v>
      </c>
      <c r="I135" s="43">
        <f>SUM(J135:N135)</f>
        <v>329000</v>
      </c>
      <c r="J135" s="43">
        <v>78000</v>
      </c>
      <c r="K135" s="43"/>
      <c r="L135" s="43">
        <f t="shared" si="26"/>
        <v>78000</v>
      </c>
      <c r="M135" s="43">
        <v>84000</v>
      </c>
      <c r="N135" s="43">
        <v>89000</v>
      </c>
      <c r="O135" s="43"/>
      <c r="P135" s="43"/>
      <c r="Q135" s="152">
        <f t="shared" si="24"/>
        <v>251000</v>
      </c>
    </row>
    <row r="136" spans="1:17" ht="25.5" customHeight="1">
      <c r="A136" s="125" t="s">
        <v>337</v>
      </c>
      <c r="B136" s="323" t="s">
        <v>266</v>
      </c>
      <c r="C136" s="348" t="s">
        <v>267</v>
      </c>
      <c r="D136" s="408">
        <v>2011</v>
      </c>
      <c r="E136" s="408">
        <v>2014</v>
      </c>
      <c r="F136" s="347">
        <v>801</v>
      </c>
      <c r="G136" s="347">
        <v>80110</v>
      </c>
      <c r="H136" s="347">
        <v>4260</v>
      </c>
      <c r="I136" s="43">
        <f>SUM(J136:N136)</f>
        <v>690000</v>
      </c>
      <c r="J136" s="43">
        <v>160000</v>
      </c>
      <c r="K136" s="43"/>
      <c r="L136" s="43">
        <f t="shared" si="26"/>
        <v>160000</v>
      </c>
      <c r="M136" s="43">
        <v>180000</v>
      </c>
      <c r="N136" s="43">
        <v>190000</v>
      </c>
      <c r="O136" s="43"/>
      <c r="P136" s="43"/>
      <c r="Q136" s="152">
        <f t="shared" si="24"/>
        <v>530000</v>
      </c>
    </row>
    <row r="137" spans="1:17" ht="25.5" customHeight="1">
      <c r="A137" s="125" t="s">
        <v>346</v>
      </c>
      <c r="B137" s="323" t="s">
        <v>353</v>
      </c>
      <c r="C137" s="464" t="s">
        <v>267</v>
      </c>
      <c r="D137" s="463">
        <v>2012</v>
      </c>
      <c r="E137" s="463">
        <v>2014</v>
      </c>
      <c r="F137" s="463">
        <v>801</v>
      </c>
      <c r="G137" s="463">
        <v>80114</v>
      </c>
      <c r="H137" s="463">
        <v>4300</v>
      </c>
      <c r="I137" s="43">
        <f>Q137</f>
        <v>7200</v>
      </c>
      <c r="J137" s="411">
        <v>2400</v>
      </c>
      <c r="K137" s="419"/>
      <c r="L137" s="43">
        <f t="shared" si="26"/>
        <v>2400</v>
      </c>
      <c r="M137" s="419">
        <v>2400</v>
      </c>
      <c r="N137" s="411">
        <v>2400</v>
      </c>
      <c r="O137" s="411"/>
      <c r="P137" s="43"/>
      <c r="Q137" s="152">
        <f t="shared" si="24"/>
        <v>7200</v>
      </c>
    </row>
    <row r="138" spans="1:17" ht="25.5" customHeight="1">
      <c r="A138" s="125" t="s">
        <v>347</v>
      </c>
      <c r="B138" s="323" t="s">
        <v>350</v>
      </c>
      <c r="C138" s="464" t="s">
        <v>267</v>
      </c>
      <c r="D138" s="463">
        <v>2012</v>
      </c>
      <c r="E138" s="463">
        <v>2013</v>
      </c>
      <c r="F138" s="463">
        <v>801</v>
      </c>
      <c r="G138" s="463">
        <v>80114</v>
      </c>
      <c r="H138" s="463">
        <v>4360</v>
      </c>
      <c r="I138" s="43">
        <f>Q138</f>
        <v>6000</v>
      </c>
      <c r="J138" s="411">
        <v>3000</v>
      </c>
      <c r="K138" s="419"/>
      <c r="L138" s="43">
        <f t="shared" si="26"/>
        <v>3000</v>
      </c>
      <c r="M138" s="419">
        <v>3000</v>
      </c>
      <c r="N138" s="411"/>
      <c r="O138" s="411"/>
      <c r="P138" s="43"/>
      <c r="Q138" s="152">
        <f t="shared" si="24"/>
        <v>6000</v>
      </c>
    </row>
    <row r="139" spans="1:17" ht="24.75" customHeight="1">
      <c r="A139" s="125" t="s">
        <v>348</v>
      </c>
      <c r="B139" s="323" t="s">
        <v>266</v>
      </c>
      <c r="C139" s="348" t="s">
        <v>267</v>
      </c>
      <c r="D139" s="408">
        <v>2011</v>
      </c>
      <c r="E139" s="408">
        <v>2014</v>
      </c>
      <c r="F139" s="347">
        <v>801</v>
      </c>
      <c r="G139" s="347">
        <v>80148</v>
      </c>
      <c r="H139" s="347">
        <v>4260</v>
      </c>
      <c r="I139" s="43">
        <f>SUM(J139:N139)</f>
        <v>84000</v>
      </c>
      <c r="J139" s="43">
        <v>18000</v>
      </c>
      <c r="K139" s="43"/>
      <c r="L139" s="43">
        <f t="shared" si="26"/>
        <v>18000</v>
      </c>
      <c r="M139" s="43">
        <v>22000</v>
      </c>
      <c r="N139" s="43">
        <v>26000</v>
      </c>
      <c r="O139" s="43"/>
      <c r="P139" s="43"/>
      <c r="Q139" s="152">
        <f t="shared" si="24"/>
        <v>66000</v>
      </c>
    </row>
    <row r="140" spans="1:20" ht="51" customHeight="1">
      <c r="A140" s="125" t="s">
        <v>351</v>
      </c>
      <c r="B140" s="323" t="s">
        <v>293</v>
      </c>
      <c r="C140" s="409" t="s">
        <v>267</v>
      </c>
      <c r="D140" s="408">
        <v>2011</v>
      </c>
      <c r="E140" s="408">
        <v>2012</v>
      </c>
      <c r="F140" s="408">
        <v>801</v>
      </c>
      <c r="G140" s="408">
        <v>80101</v>
      </c>
      <c r="H140" s="408">
        <v>4300</v>
      </c>
      <c r="I140" s="43">
        <v>219696</v>
      </c>
      <c r="J140" s="410">
        <v>131817</v>
      </c>
      <c r="K140" s="410"/>
      <c r="L140" s="43">
        <f t="shared" si="26"/>
        <v>131817</v>
      </c>
      <c r="M140" s="411"/>
      <c r="N140" s="410"/>
      <c r="O140" s="43"/>
      <c r="P140" s="43"/>
      <c r="Q140" s="152">
        <f t="shared" si="24"/>
        <v>131817</v>
      </c>
      <c r="R140" s="43"/>
      <c r="S140" s="43"/>
      <c r="T140" s="152">
        <f>SUM(N140:R140)</f>
        <v>131817</v>
      </c>
    </row>
    <row r="141" spans="1:20" ht="41.25" customHeight="1">
      <c r="A141" s="125" t="s">
        <v>352</v>
      </c>
      <c r="B141" s="323" t="s">
        <v>294</v>
      </c>
      <c r="C141" s="409" t="s">
        <v>267</v>
      </c>
      <c r="D141" s="408">
        <v>2011</v>
      </c>
      <c r="E141" s="408">
        <v>2012</v>
      </c>
      <c r="F141" s="408">
        <v>801</v>
      </c>
      <c r="G141" s="408">
        <v>80101</v>
      </c>
      <c r="H141" s="408">
        <v>4300</v>
      </c>
      <c r="I141" s="43">
        <v>978303</v>
      </c>
      <c r="J141" s="410">
        <v>586982</v>
      </c>
      <c r="K141" s="410"/>
      <c r="L141" s="43">
        <f t="shared" si="26"/>
        <v>586982</v>
      </c>
      <c r="M141" s="411"/>
      <c r="N141" s="410"/>
      <c r="O141" s="43"/>
      <c r="P141" s="43"/>
      <c r="Q141" s="152">
        <f t="shared" si="24"/>
        <v>586982</v>
      </c>
      <c r="R141" s="43"/>
      <c r="S141" s="43"/>
      <c r="T141" s="152">
        <f>SUM(N141:R141)</f>
        <v>586982</v>
      </c>
    </row>
    <row r="142" spans="1:20" ht="24" customHeight="1">
      <c r="A142" s="125" t="s">
        <v>355</v>
      </c>
      <c r="B142" s="323" t="s">
        <v>342</v>
      </c>
      <c r="C142" s="464" t="s">
        <v>267</v>
      </c>
      <c r="D142" s="450">
        <v>2012</v>
      </c>
      <c r="E142" s="450">
        <v>2013</v>
      </c>
      <c r="F142" s="450">
        <v>801</v>
      </c>
      <c r="G142" s="450">
        <v>80101</v>
      </c>
      <c r="H142" s="450">
        <v>4430</v>
      </c>
      <c r="I142" s="43">
        <f aca="true" t="shared" si="27" ref="I142:I151">Q142</f>
        <v>44000</v>
      </c>
      <c r="J142" s="411">
        <v>22000</v>
      </c>
      <c r="K142" s="419"/>
      <c r="L142" s="43">
        <f aca="true" t="shared" si="28" ref="L142:L151">J142+K142</f>
        <v>22000</v>
      </c>
      <c r="M142" s="419">
        <v>22000</v>
      </c>
      <c r="N142" s="411"/>
      <c r="O142" s="411"/>
      <c r="P142" s="43"/>
      <c r="Q142" s="152">
        <f aca="true" t="shared" si="29" ref="Q142:Q151">SUM(L142:P142)</f>
        <v>44000</v>
      </c>
      <c r="R142" s="418"/>
      <c r="S142" s="418"/>
      <c r="T142" s="343"/>
    </row>
    <row r="143" spans="1:20" ht="25.5" customHeight="1">
      <c r="A143" s="125" t="s">
        <v>356</v>
      </c>
      <c r="B143" s="323" t="s">
        <v>343</v>
      </c>
      <c r="C143" s="464" t="s">
        <v>267</v>
      </c>
      <c r="D143" s="450">
        <v>2012</v>
      </c>
      <c r="E143" s="450">
        <v>2013</v>
      </c>
      <c r="F143" s="450">
        <v>801</v>
      </c>
      <c r="G143" s="450">
        <v>80104</v>
      </c>
      <c r="H143" s="450">
        <v>4430</v>
      </c>
      <c r="I143" s="43">
        <f t="shared" si="27"/>
        <v>2000</v>
      </c>
      <c r="J143" s="419">
        <v>1000</v>
      </c>
      <c r="K143" s="419"/>
      <c r="L143" s="43">
        <f t="shared" si="28"/>
        <v>1000</v>
      </c>
      <c r="M143" s="419">
        <v>1000</v>
      </c>
      <c r="N143" s="411"/>
      <c r="O143" s="411"/>
      <c r="P143" s="43"/>
      <c r="Q143" s="152">
        <f t="shared" si="29"/>
        <v>2000</v>
      </c>
      <c r="R143" s="418"/>
      <c r="S143" s="418"/>
      <c r="T143" s="343"/>
    </row>
    <row r="144" spans="1:20" ht="25.5" customHeight="1">
      <c r="A144" s="125" t="s">
        <v>357</v>
      </c>
      <c r="B144" s="323" t="s">
        <v>344</v>
      </c>
      <c r="C144" s="464" t="s">
        <v>267</v>
      </c>
      <c r="D144" s="450">
        <v>2012</v>
      </c>
      <c r="E144" s="450">
        <v>2013</v>
      </c>
      <c r="F144" s="450">
        <v>801</v>
      </c>
      <c r="G144" s="450">
        <v>80114</v>
      </c>
      <c r="H144" s="450">
        <v>4430</v>
      </c>
      <c r="I144" s="43">
        <f t="shared" si="27"/>
        <v>1000</v>
      </c>
      <c r="J144" s="419">
        <v>500</v>
      </c>
      <c r="K144" s="419"/>
      <c r="L144" s="43">
        <f t="shared" si="28"/>
        <v>500</v>
      </c>
      <c r="M144" s="419">
        <v>500</v>
      </c>
      <c r="N144" s="411"/>
      <c r="O144" s="411"/>
      <c r="P144" s="43"/>
      <c r="Q144" s="152">
        <f t="shared" si="29"/>
        <v>1000</v>
      </c>
      <c r="R144" s="418"/>
      <c r="S144" s="418"/>
      <c r="T144" s="343"/>
    </row>
    <row r="145" spans="1:20" ht="25.5" customHeight="1">
      <c r="A145" s="125" t="s">
        <v>412</v>
      </c>
      <c r="B145" s="323" t="s">
        <v>345</v>
      </c>
      <c r="C145" s="464" t="s">
        <v>354</v>
      </c>
      <c r="D145" s="450">
        <v>2012</v>
      </c>
      <c r="E145" s="450">
        <v>2013</v>
      </c>
      <c r="F145" s="450">
        <v>852</v>
      </c>
      <c r="G145" s="450">
        <v>85219</v>
      </c>
      <c r="H145" s="450">
        <v>4430</v>
      </c>
      <c r="I145" s="43">
        <f t="shared" si="27"/>
        <v>800</v>
      </c>
      <c r="J145" s="419">
        <v>400</v>
      </c>
      <c r="K145" s="419"/>
      <c r="L145" s="43">
        <f t="shared" si="28"/>
        <v>400</v>
      </c>
      <c r="M145" s="419">
        <v>400</v>
      </c>
      <c r="N145" s="411"/>
      <c r="O145" s="411"/>
      <c r="P145" s="43"/>
      <c r="Q145" s="152">
        <f t="shared" si="29"/>
        <v>800</v>
      </c>
      <c r="R145" s="418"/>
      <c r="S145" s="418"/>
      <c r="T145" s="343"/>
    </row>
    <row r="146" spans="1:20" ht="25.5" customHeight="1">
      <c r="A146" s="700" t="s">
        <v>413</v>
      </c>
      <c r="B146" s="695" t="s">
        <v>378</v>
      </c>
      <c r="C146" s="689" t="s">
        <v>354</v>
      </c>
      <c r="D146" s="697">
        <v>2012</v>
      </c>
      <c r="E146" s="697">
        <v>2013</v>
      </c>
      <c r="F146" s="697">
        <v>853</v>
      </c>
      <c r="G146" s="697">
        <v>85395</v>
      </c>
      <c r="H146" s="208" t="s">
        <v>166</v>
      </c>
      <c r="I146" s="563">
        <f>SUM(I147:I151)</f>
        <v>49870</v>
      </c>
      <c r="J146" s="563">
        <f>SUM(J147:J151)</f>
        <v>17194</v>
      </c>
      <c r="K146" s="563"/>
      <c r="L146" s="563">
        <f>SUM(L147:L151)</f>
        <v>17194</v>
      </c>
      <c r="M146" s="563">
        <f>SUM(M147:M151)</f>
        <v>32676</v>
      </c>
      <c r="N146" s="564"/>
      <c r="O146" s="564"/>
      <c r="P146" s="563"/>
      <c r="Q146" s="565">
        <f>SUM(Q147:Q151)</f>
        <v>49870</v>
      </c>
      <c r="R146" s="418"/>
      <c r="S146" s="418"/>
      <c r="T146" s="343"/>
    </row>
    <row r="147" spans="1:20" ht="25.5" customHeight="1">
      <c r="A147" s="701"/>
      <c r="B147" s="703"/>
      <c r="C147" s="698"/>
      <c r="D147" s="698"/>
      <c r="E147" s="698"/>
      <c r="F147" s="698"/>
      <c r="G147" s="698"/>
      <c r="H147" s="487">
        <v>4117</v>
      </c>
      <c r="I147" s="43">
        <f t="shared" si="27"/>
        <v>4394</v>
      </c>
      <c r="J147" s="419">
        <v>1050</v>
      </c>
      <c r="K147" s="419"/>
      <c r="L147" s="43">
        <f t="shared" si="28"/>
        <v>1050</v>
      </c>
      <c r="M147" s="419">
        <v>3344</v>
      </c>
      <c r="N147" s="411"/>
      <c r="O147" s="411"/>
      <c r="P147" s="43"/>
      <c r="Q147" s="152">
        <f t="shared" si="29"/>
        <v>4394</v>
      </c>
      <c r="R147" s="418"/>
      <c r="S147" s="418"/>
      <c r="T147" s="343"/>
    </row>
    <row r="148" spans="1:20" ht="25.5" customHeight="1">
      <c r="A148" s="701"/>
      <c r="B148" s="703"/>
      <c r="C148" s="698"/>
      <c r="D148" s="698"/>
      <c r="E148" s="698"/>
      <c r="F148" s="698"/>
      <c r="G148" s="698"/>
      <c r="H148" s="487">
        <v>4127</v>
      </c>
      <c r="I148" s="43">
        <f t="shared" si="27"/>
        <v>627</v>
      </c>
      <c r="J148" s="419">
        <v>150</v>
      </c>
      <c r="K148" s="419"/>
      <c r="L148" s="43">
        <f t="shared" si="28"/>
        <v>150</v>
      </c>
      <c r="M148" s="419">
        <v>477</v>
      </c>
      <c r="N148" s="411"/>
      <c r="O148" s="411"/>
      <c r="P148" s="43"/>
      <c r="Q148" s="152">
        <f t="shared" si="29"/>
        <v>627</v>
      </c>
      <c r="R148" s="418"/>
      <c r="S148" s="418"/>
      <c r="T148" s="343"/>
    </row>
    <row r="149" spans="1:20" ht="25.5" customHeight="1">
      <c r="A149" s="701"/>
      <c r="B149" s="703"/>
      <c r="C149" s="698"/>
      <c r="D149" s="698"/>
      <c r="E149" s="698"/>
      <c r="F149" s="698"/>
      <c r="G149" s="698"/>
      <c r="H149" s="487">
        <v>4177</v>
      </c>
      <c r="I149" s="43">
        <f t="shared" si="27"/>
        <v>35559</v>
      </c>
      <c r="J149" s="419">
        <v>10100</v>
      </c>
      <c r="K149" s="419"/>
      <c r="L149" s="43">
        <f t="shared" si="28"/>
        <v>10100</v>
      </c>
      <c r="M149" s="419">
        <v>25459</v>
      </c>
      <c r="N149" s="411"/>
      <c r="O149" s="411"/>
      <c r="P149" s="43"/>
      <c r="Q149" s="152">
        <f t="shared" si="29"/>
        <v>35559</v>
      </c>
      <c r="R149" s="418"/>
      <c r="S149" s="418"/>
      <c r="T149" s="343"/>
    </row>
    <row r="150" spans="1:20" ht="25.5" customHeight="1">
      <c r="A150" s="701"/>
      <c r="B150" s="703"/>
      <c r="C150" s="698"/>
      <c r="D150" s="698"/>
      <c r="E150" s="698"/>
      <c r="F150" s="698"/>
      <c r="G150" s="698"/>
      <c r="H150" s="487">
        <v>4217</v>
      </c>
      <c r="I150" s="43">
        <f t="shared" si="27"/>
        <v>4836</v>
      </c>
      <c r="J150" s="419">
        <v>4000</v>
      </c>
      <c r="K150" s="419"/>
      <c r="L150" s="43">
        <f t="shared" si="28"/>
        <v>4000</v>
      </c>
      <c r="M150" s="419">
        <v>836</v>
      </c>
      <c r="N150" s="411"/>
      <c r="O150" s="411"/>
      <c r="P150" s="43"/>
      <c r="Q150" s="152">
        <f t="shared" si="29"/>
        <v>4836</v>
      </c>
      <c r="R150" s="418"/>
      <c r="S150" s="418"/>
      <c r="T150" s="343"/>
    </row>
    <row r="151" spans="1:20" ht="25.5" customHeight="1">
      <c r="A151" s="702"/>
      <c r="B151" s="704"/>
      <c r="C151" s="699"/>
      <c r="D151" s="699"/>
      <c r="E151" s="699"/>
      <c r="F151" s="699"/>
      <c r="G151" s="699"/>
      <c r="H151" s="487">
        <v>4307</v>
      </c>
      <c r="I151" s="43">
        <f t="shared" si="27"/>
        <v>4454</v>
      </c>
      <c r="J151" s="419">
        <v>1894</v>
      </c>
      <c r="K151" s="419"/>
      <c r="L151" s="43">
        <f t="shared" si="28"/>
        <v>1894</v>
      </c>
      <c r="M151" s="419">
        <v>2560</v>
      </c>
      <c r="N151" s="411"/>
      <c r="O151" s="411"/>
      <c r="P151" s="43"/>
      <c r="Q151" s="152">
        <f t="shared" si="29"/>
        <v>4454</v>
      </c>
      <c r="R151" s="418"/>
      <c r="S151" s="418"/>
      <c r="T151" s="343"/>
    </row>
    <row r="152" spans="1:20" ht="25.5" customHeight="1">
      <c r="A152" s="700">
        <v>50</v>
      </c>
      <c r="B152" s="695" t="s">
        <v>405</v>
      </c>
      <c r="C152" s="689" t="s">
        <v>354</v>
      </c>
      <c r="D152" s="697">
        <v>2012</v>
      </c>
      <c r="E152" s="697">
        <v>2014</v>
      </c>
      <c r="F152" s="697">
        <v>853</v>
      </c>
      <c r="G152" s="697">
        <v>85395</v>
      </c>
      <c r="H152" s="208" t="s">
        <v>166</v>
      </c>
      <c r="I152" s="563">
        <f>SUM(I153:I165)</f>
        <v>428000</v>
      </c>
      <c r="J152" s="563">
        <f aca="true" t="shared" si="30" ref="J152:Q152">SUM(J153:J165)</f>
        <v>0</v>
      </c>
      <c r="K152" s="563">
        <f t="shared" si="30"/>
        <v>162000</v>
      </c>
      <c r="L152" s="563">
        <f t="shared" si="30"/>
        <v>162000</v>
      </c>
      <c r="M152" s="563">
        <f t="shared" si="30"/>
        <v>166000</v>
      </c>
      <c r="N152" s="563">
        <f t="shared" si="30"/>
        <v>100000</v>
      </c>
      <c r="O152" s="563"/>
      <c r="P152" s="563"/>
      <c r="Q152" s="563">
        <f t="shared" si="30"/>
        <v>428000</v>
      </c>
      <c r="R152" s="418">
        <f>L152+M152+N152</f>
        <v>428000</v>
      </c>
      <c r="S152" s="418"/>
      <c r="T152" s="343"/>
    </row>
    <row r="153" spans="1:20" ht="25.5" customHeight="1">
      <c r="A153" s="686"/>
      <c r="B153" s="688"/>
      <c r="C153" s="688"/>
      <c r="D153" s="688"/>
      <c r="E153" s="688"/>
      <c r="F153" s="688"/>
      <c r="G153" s="688"/>
      <c r="H153" s="562">
        <v>3019</v>
      </c>
      <c r="I153" s="43">
        <f aca="true" t="shared" si="31" ref="I153:I159">Q153</f>
        <v>44940</v>
      </c>
      <c r="J153" s="419"/>
      <c r="K153" s="419">
        <v>17010</v>
      </c>
      <c r="L153" s="43">
        <f aca="true" t="shared" si="32" ref="L153:L159">J153+K153</f>
        <v>17010</v>
      </c>
      <c r="M153" s="419">
        <v>17430</v>
      </c>
      <c r="N153" s="411">
        <v>10500</v>
      </c>
      <c r="O153" s="411"/>
      <c r="P153" s="43"/>
      <c r="Q153" s="152">
        <f aca="true" t="shared" si="33" ref="Q153:Q170">SUM(L153:P153)</f>
        <v>44940</v>
      </c>
      <c r="R153" s="418">
        <f>L154+L156+L158+L160+L162+L164</f>
        <v>137700</v>
      </c>
      <c r="S153" s="418">
        <f>M154+M156+M158+M160+M162+M164</f>
        <v>141100</v>
      </c>
      <c r="T153" s="418">
        <f>N154+N156+N158+N160+N162+N164</f>
        <v>85000</v>
      </c>
    </row>
    <row r="154" spans="1:20" ht="25.5" customHeight="1">
      <c r="A154" s="686"/>
      <c r="B154" s="688"/>
      <c r="C154" s="688"/>
      <c r="D154" s="688"/>
      <c r="E154" s="688"/>
      <c r="F154" s="688"/>
      <c r="G154" s="688"/>
      <c r="H154" s="562">
        <v>4017</v>
      </c>
      <c r="I154" s="43">
        <f>Q154</f>
        <v>135896</v>
      </c>
      <c r="J154" s="419"/>
      <c r="K154" s="419">
        <v>45368</v>
      </c>
      <c r="L154" s="43">
        <f>J154+K154</f>
        <v>45368</v>
      </c>
      <c r="M154" s="419">
        <v>57055</v>
      </c>
      <c r="N154" s="411">
        <v>33473</v>
      </c>
      <c r="O154" s="411"/>
      <c r="P154" s="43"/>
      <c r="Q154" s="152">
        <f t="shared" si="33"/>
        <v>135896</v>
      </c>
      <c r="R154" s="418">
        <f>L153+L155+L157+L159+L161+L163+L165</f>
        <v>24300</v>
      </c>
      <c r="S154" s="418">
        <f>M153+M155+M157+M159+M161+M163+M165</f>
        <v>24900</v>
      </c>
      <c r="T154" s="418">
        <f>N153+N155+N157+N159+N161+N163+N165</f>
        <v>15000</v>
      </c>
    </row>
    <row r="155" spans="1:20" ht="25.5" customHeight="1">
      <c r="A155" s="686"/>
      <c r="B155" s="688"/>
      <c r="C155" s="688"/>
      <c r="D155" s="688"/>
      <c r="E155" s="688"/>
      <c r="F155" s="688"/>
      <c r="G155" s="688"/>
      <c r="H155" s="562">
        <v>4019</v>
      </c>
      <c r="I155" s="43">
        <f>Q155</f>
        <v>7197</v>
      </c>
      <c r="J155" s="419"/>
      <c r="K155" s="419">
        <v>2403</v>
      </c>
      <c r="L155" s="43">
        <f>J155+K155</f>
        <v>2403</v>
      </c>
      <c r="M155" s="419">
        <v>3021</v>
      </c>
      <c r="N155" s="411">
        <v>1773</v>
      </c>
      <c r="O155" s="411"/>
      <c r="P155" s="43"/>
      <c r="Q155" s="152">
        <f t="shared" si="33"/>
        <v>7197</v>
      </c>
      <c r="R155" s="418"/>
      <c r="S155" s="418"/>
      <c r="T155" s="343"/>
    </row>
    <row r="156" spans="1:20" ht="25.5" customHeight="1">
      <c r="A156" s="686"/>
      <c r="B156" s="688"/>
      <c r="C156" s="688"/>
      <c r="D156" s="688"/>
      <c r="E156" s="688"/>
      <c r="F156" s="688"/>
      <c r="G156" s="688"/>
      <c r="H156" s="562">
        <v>4117</v>
      </c>
      <c r="I156" s="43">
        <f>Q156</f>
        <v>24623</v>
      </c>
      <c r="J156" s="419"/>
      <c r="K156" s="419">
        <v>9144</v>
      </c>
      <c r="L156" s="43">
        <f>J156+K156</f>
        <v>9144</v>
      </c>
      <c r="M156" s="419">
        <v>9755</v>
      </c>
      <c r="N156" s="411">
        <v>5724</v>
      </c>
      <c r="O156" s="411"/>
      <c r="P156" s="43"/>
      <c r="Q156" s="152">
        <f t="shared" si="33"/>
        <v>24623</v>
      </c>
      <c r="R156" s="418"/>
      <c r="S156" s="418"/>
      <c r="T156" s="343"/>
    </row>
    <row r="157" spans="1:20" ht="25.5" customHeight="1">
      <c r="A157" s="686"/>
      <c r="B157" s="688"/>
      <c r="C157" s="688"/>
      <c r="D157" s="688"/>
      <c r="E157" s="688"/>
      <c r="F157" s="688"/>
      <c r="G157" s="688"/>
      <c r="H157" s="562">
        <v>4119</v>
      </c>
      <c r="I157" s="43">
        <f t="shared" si="31"/>
        <v>1303</v>
      </c>
      <c r="J157" s="419"/>
      <c r="K157" s="419">
        <v>484</v>
      </c>
      <c r="L157" s="43">
        <f t="shared" si="32"/>
        <v>484</v>
      </c>
      <c r="M157" s="419">
        <v>516</v>
      </c>
      <c r="N157" s="411">
        <v>303</v>
      </c>
      <c r="O157" s="411"/>
      <c r="P157" s="43"/>
      <c r="Q157" s="152">
        <f t="shared" si="33"/>
        <v>1303</v>
      </c>
      <c r="R157" s="418"/>
      <c r="S157" s="418"/>
      <c r="T157" s="343"/>
    </row>
    <row r="158" spans="1:20" ht="25.5" customHeight="1">
      <c r="A158" s="686"/>
      <c r="B158" s="688"/>
      <c r="C158" s="688"/>
      <c r="D158" s="688"/>
      <c r="E158" s="688"/>
      <c r="F158" s="688"/>
      <c r="G158" s="688"/>
      <c r="H158" s="562">
        <v>4127</v>
      </c>
      <c r="I158" s="43">
        <f t="shared" si="31"/>
        <v>3528</v>
      </c>
      <c r="J158" s="419"/>
      <c r="K158" s="419">
        <v>1310</v>
      </c>
      <c r="L158" s="43">
        <f t="shared" si="32"/>
        <v>1310</v>
      </c>
      <c r="M158" s="419">
        <v>1397</v>
      </c>
      <c r="N158" s="411">
        <v>821</v>
      </c>
      <c r="O158" s="411"/>
      <c r="P158" s="43"/>
      <c r="Q158" s="152">
        <f t="shared" si="33"/>
        <v>3528</v>
      </c>
      <c r="R158" s="418"/>
      <c r="S158" s="418"/>
      <c r="T158" s="343"/>
    </row>
    <row r="159" spans="1:20" ht="25.5" customHeight="1">
      <c r="A159" s="686"/>
      <c r="B159" s="688"/>
      <c r="C159" s="688"/>
      <c r="D159" s="688"/>
      <c r="E159" s="688"/>
      <c r="F159" s="688"/>
      <c r="G159" s="688"/>
      <c r="H159" s="562">
        <v>4129</v>
      </c>
      <c r="I159" s="43">
        <f t="shared" si="31"/>
        <v>186</v>
      </c>
      <c r="J159" s="419"/>
      <c r="K159" s="419">
        <v>69</v>
      </c>
      <c r="L159" s="43">
        <f t="shared" si="32"/>
        <v>69</v>
      </c>
      <c r="M159" s="419">
        <v>74</v>
      </c>
      <c r="N159" s="411">
        <v>43</v>
      </c>
      <c r="O159" s="411"/>
      <c r="P159" s="43"/>
      <c r="Q159" s="152">
        <f t="shared" si="33"/>
        <v>186</v>
      </c>
      <c r="R159" s="418"/>
      <c r="S159" s="418"/>
      <c r="T159" s="343"/>
    </row>
    <row r="160" spans="1:20" ht="25.5" customHeight="1">
      <c r="A160" s="686"/>
      <c r="B160" s="688"/>
      <c r="C160" s="688"/>
      <c r="D160" s="688"/>
      <c r="E160" s="688"/>
      <c r="F160" s="688"/>
      <c r="G160" s="688"/>
      <c r="H160" s="562">
        <v>4177</v>
      </c>
      <c r="I160" s="43">
        <f aca="true" t="shared" si="34" ref="I160:I165">Q160</f>
        <v>17791</v>
      </c>
      <c r="J160" s="419"/>
      <c r="K160" s="419">
        <v>8103</v>
      </c>
      <c r="L160" s="43">
        <f aca="true" t="shared" si="35" ref="L160:L170">J160+K160</f>
        <v>8103</v>
      </c>
      <c r="M160" s="419">
        <v>8263</v>
      </c>
      <c r="N160" s="411">
        <v>1425</v>
      </c>
      <c r="O160" s="411"/>
      <c r="P160" s="43"/>
      <c r="Q160" s="152">
        <f t="shared" si="33"/>
        <v>17791</v>
      </c>
      <c r="R160" s="418"/>
      <c r="S160" s="418"/>
      <c r="T160" s="343"/>
    </row>
    <row r="161" spans="1:20" ht="25.5" customHeight="1">
      <c r="A161" s="686"/>
      <c r="B161" s="688"/>
      <c r="C161" s="688"/>
      <c r="D161" s="688"/>
      <c r="E161" s="688"/>
      <c r="F161" s="688"/>
      <c r="G161" s="688"/>
      <c r="H161" s="562">
        <v>4179</v>
      </c>
      <c r="I161" s="43">
        <f t="shared" si="34"/>
        <v>941</v>
      </c>
      <c r="J161" s="419"/>
      <c r="K161" s="419">
        <v>429</v>
      </c>
      <c r="L161" s="43">
        <f t="shared" si="35"/>
        <v>429</v>
      </c>
      <c r="M161" s="419">
        <v>437</v>
      </c>
      <c r="N161" s="411">
        <v>75</v>
      </c>
      <c r="O161" s="411"/>
      <c r="P161" s="43"/>
      <c r="Q161" s="152">
        <f t="shared" si="33"/>
        <v>941</v>
      </c>
      <c r="R161" s="418"/>
      <c r="S161" s="418"/>
      <c r="T161" s="343"/>
    </row>
    <row r="162" spans="1:20" ht="25.5" customHeight="1">
      <c r="A162" s="686"/>
      <c r="B162" s="688"/>
      <c r="C162" s="688"/>
      <c r="D162" s="688"/>
      <c r="E162" s="688"/>
      <c r="F162" s="688"/>
      <c r="G162" s="688"/>
      <c r="H162" s="562">
        <v>4217</v>
      </c>
      <c r="I162" s="43">
        <f t="shared" si="34"/>
        <v>4439</v>
      </c>
      <c r="J162" s="419"/>
      <c r="K162" s="419">
        <v>2925</v>
      </c>
      <c r="L162" s="43">
        <f t="shared" si="35"/>
        <v>2925</v>
      </c>
      <c r="M162" s="419">
        <v>1514</v>
      </c>
      <c r="N162" s="411"/>
      <c r="O162" s="411"/>
      <c r="P162" s="43"/>
      <c r="Q162" s="152">
        <f t="shared" si="33"/>
        <v>4439</v>
      </c>
      <c r="R162" s="418"/>
      <c r="S162" s="418"/>
      <c r="T162" s="343"/>
    </row>
    <row r="163" spans="1:20" ht="25.5" customHeight="1">
      <c r="A163" s="686"/>
      <c r="B163" s="688"/>
      <c r="C163" s="688"/>
      <c r="D163" s="688"/>
      <c r="E163" s="688"/>
      <c r="F163" s="688"/>
      <c r="G163" s="688"/>
      <c r="H163" s="562">
        <v>4219</v>
      </c>
      <c r="I163" s="43">
        <f t="shared" si="34"/>
        <v>235</v>
      </c>
      <c r="J163" s="419"/>
      <c r="K163" s="419">
        <v>155</v>
      </c>
      <c r="L163" s="43">
        <f t="shared" si="35"/>
        <v>155</v>
      </c>
      <c r="M163" s="419">
        <v>80</v>
      </c>
      <c r="N163" s="411"/>
      <c r="O163" s="411"/>
      <c r="P163" s="43"/>
      <c r="Q163" s="152">
        <f t="shared" si="33"/>
        <v>235</v>
      </c>
      <c r="R163" s="418"/>
      <c r="S163" s="418"/>
      <c r="T163" s="343"/>
    </row>
    <row r="164" spans="1:20" ht="25.5" customHeight="1">
      <c r="A164" s="686"/>
      <c r="B164" s="688"/>
      <c r="C164" s="688"/>
      <c r="D164" s="688"/>
      <c r="E164" s="688"/>
      <c r="F164" s="688"/>
      <c r="G164" s="688"/>
      <c r="H164" s="562">
        <v>4307</v>
      </c>
      <c r="I164" s="43">
        <f t="shared" si="34"/>
        <v>177523</v>
      </c>
      <c r="J164" s="419"/>
      <c r="K164" s="419">
        <v>70850</v>
      </c>
      <c r="L164" s="43">
        <f t="shared" si="35"/>
        <v>70850</v>
      </c>
      <c r="M164" s="419">
        <v>63116</v>
      </c>
      <c r="N164" s="411">
        <v>43557</v>
      </c>
      <c r="O164" s="411"/>
      <c r="P164" s="43"/>
      <c r="Q164" s="152">
        <f t="shared" si="33"/>
        <v>177523</v>
      </c>
      <c r="R164" s="418"/>
      <c r="S164" s="418"/>
      <c r="T164" s="343"/>
    </row>
    <row r="165" spans="1:20" ht="25.5" customHeight="1">
      <c r="A165" s="705"/>
      <c r="B165" s="696"/>
      <c r="C165" s="696"/>
      <c r="D165" s="696"/>
      <c r="E165" s="696"/>
      <c r="F165" s="696"/>
      <c r="G165" s="696"/>
      <c r="H165" s="562">
        <v>4309</v>
      </c>
      <c r="I165" s="43">
        <f t="shared" si="34"/>
        <v>9398</v>
      </c>
      <c r="J165" s="419"/>
      <c r="K165" s="419">
        <v>3750</v>
      </c>
      <c r="L165" s="43">
        <f t="shared" si="35"/>
        <v>3750</v>
      </c>
      <c r="M165" s="419">
        <v>3342</v>
      </c>
      <c r="N165" s="411">
        <v>2306</v>
      </c>
      <c r="O165" s="411"/>
      <c r="P165" s="43"/>
      <c r="Q165" s="152">
        <f t="shared" si="33"/>
        <v>9398</v>
      </c>
      <c r="R165" s="418"/>
      <c r="S165" s="418"/>
      <c r="T165" s="343"/>
    </row>
    <row r="166" spans="1:17" ht="24" customHeight="1">
      <c r="A166" s="125">
        <v>51</v>
      </c>
      <c r="B166" s="323" t="s">
        <v>261</v>
      </c>
      <c r="C166" s="398" t="s">
        <v>275</v>
      </c>
      <c r="D166" s="408">
        <v>2011</v>
      </c>
      <c r="E166" s="408">
        <v>2014</v>
      </c>
      <c r="F166" s="344">
        <v>900</v>
      </c>
      <c r="G166" s="344">
        <v>90002</v>
      </c>
      <c r="H166" s="344">
        <v>4300</v>
      </c>
      <c r="I166" s="43">
        <v>572000</v>
      </c>
      <c r="J166" s="43">
        <v>200000</v>
      </c>
      <c r="K166" s="43"/>
      <c r="L166" s="43">
        <f t="shared" si="35"/>
        <v>200000</v>
      </c>
      <c r="M166" s="43">
        <v>180000</v>
      </c>
      <c r="N166" s="43">
        <v>190000</v>
      </c>
      <c r="O166" s="43"/>
      <c r="P166" s="43"/>
      <c r="Q166" s="152">
        <f t="shared" si="33"/>
        <v>570000</v>
      </c>
    </row>
    <row r="167" spans="1:17" ht="25.5" customHeight="1">
      <c r="A167" s="125">
        <v>52</v>
      </c>
      <c r="B167" s="323" t="s">
        <v>257</v>
      </c>
      <c r="C167" s="398" t="s">
        <v>175</v>
      </c>
      <c r="D167" s="344">
        <v>2011</v>
      </c>
      <c r="E167" s="344">
        <v>2012</v>
      </c>
      <c r="F167" s="344">
        <v>900</v>
      </c>
      <c r="G167" s="344">
        <v>90003</v>
      </c>
      <c r="H167" s="344">
        <v>4300</v>
      </c>
      <c r="I167" s="43">
        <v>506000</v>
      </c>
      <c r="J167" s="43">
        <v>500000</v>
      </c>
      <c r="K167" s="43"/>
      <c r="L167" s="43">
        <f t="shared" si="35"/>
        <v>500000</v>
      </c>
      <c r="M167" s="43"/>
      <c r="N167" s="43"/>
      <c r="O167" s="43"/>
      <c r="P167" s="43"/>
      <c r="Q167" s="152">
        <f t="shared" si="33"/>
        <v>500000</v>
      </c>
    </row>
    <row r="168" spans="1:17" ht="24.75" customHeight="1">
      <c r="A168" s="125">
        <v>53</v>
      </c>
      <c r="B168" s="323" t="s">
        <v>256</v>
      </c>
      <c r="C168" s="398" t="s">
        <v>175</v>
      </c>
      <c r="D168" s="344">
        <v>2011</v>
      </c>
      <c r="E168" s="344">
        <v>2012</v>
      </c>
      <c r="F168" s="344">
        <v>900</v>
      </c>
      <c r="G168" s="344">
        <v>90004</v>
      </c>
      <c r="H168" s="344">
        <v>4300</v>
      </c>
      <c r="I168" s="43">
        <v>220000</v>
      </c>
      <c r="J168" s="43">
        <v>200000</v>
      </c>
      <c r="K168" s="43"/>
      <c r="L168" s="43">
        <f t="shared" si="35"/>
        <v>200000</v>
      </c>
      <c r="M168" s="43"/>
      <c r="N168" s="43"/>
      <c r="O168" s="43"/>
      <c r="P168" s="43"/>
      <c r="Q168" s="152">
        <f t="shared" si="33"/>
        <v>200000</v>
      </c>
    </row>
    <row r="169" spans="1:17" ht="24.75" customHeight="1">
      <c r="A169" s="125">
        <v>54</v>
      </c>
      <c r="B169" s="323" t="s">
        <v>287</v>
      </c>
      <c r="C169" s="398" t="s">
        <v>175</v>
      </c>
      <c r="D169" s="408">
        <v>2011</v>
      </c>
      <c r="E169" s="408">
        <v>2014</v>
      </c>
      <c r="F169" s="347">
        <v>900</v>
      </c>
      <c r="G169" s="347">
        <v>90015</v>
      </c>
      <c r="H169" s="347">
        <v>4260</v>
      </c>
      <c r="I169" s="43">
        <f>SUM(J169:N169)</f>
        <v>4010000</v>
      </c>
      <c r="J169" s="43">
        <v>980000</v>
      </c>
      <c r="K169" s="43"/>
      <c r="L169" s="43">
        <f t="shared" si="35"/>
        <v>980000</v>
      </c>
      <c r="M169" s="43">
        <v>1000000</v>
      </c>
      <c r="N169" s="43">
        <v>1050000</v>
      </c>
      <c r="O169" s="43"/>
      <c r="P169" s="43"/>
      <c r="Q169" s="152">
        <f t="shared" si="33"/>
        <v>3030000</v>
      </c>
    </row>
    <row r="170" spans="1:17" ht="25.5">
      <c r="A170" s="125">
        <v>55</v>
      </c>
      <c r="B170" s="323" t="s">
        <v>258</v>
      </c>
      <c r="C170" s="444" t="s">
        <v>175</v>
      </c>
      <c r="D170" s="443">
        <v>2011</v>
      </c>
      <c r="E170" s="443">
        <v>2012</v>
      </c>
      <c r="F170" s="443">
        <v>900</v>
      </c>
      <c r="G170" s="443">
        <v>90015</v>
      </c>
      <c r="H170" s="443">
        <v>4270</v>
      </c>
      <c r="I170" s="43">
        <v>254000</v>
      </c>
      <c r="J170" s="43">
        <v>250000</v>
      </c>
      <c r="K170" s="43"/>
      <c r="L170" s="43">
        <f t="shared" si="35"/>
        <v>250000</v>
      </c>
      <c r="M170" s="43"/>
      <c r="N170" s="43"/>
      <c r="O170" s="43"/>
      <c r="P170" s="43"/>
      <c r="Q170" s="152">
        <f t="shared" si="33"/>
        <v>250000</v>
      </c>
    </row>
    <row r="171" spans="1:17" ht="12.75">
      <c r="A171" s="74"/>
      <c r="B171" s="74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4"/>
    </row>
    <row r="172" spans="1:3" ht="15">
      <c r="A172" s="29"/>
      <c r="B172" s="39"/>
      <c r="C172" s="40"/>
    </row>
    <row r="173" spans="1:3" ht="15">
      <c r="A173" s="29"/>
      <c r="B173" s="41"/>
      <c r="C173" s="40"/>
    </row>
    <row r="174" spans="1:3" ht="15">
      <c r="A174" s="42"/>
      <c r="B174" s="41"/>
      <c r="C174" s="40"/>
    </row>
    <row r="175" spans="1:3" ht="12.75">
      <c r="A175" s="29"/>
      <c r="B175" s="29"/>
      <c r="C175" s="40"/>
    </row>
  </sheetData>
  <sheetProtection/>
  <mergeCells count="66">
    <mergeCell ref="E152:E165"/>
    <mergeCell ref="F152:F165"/>
    <mergeCell ref="G152:G165"/>
    <mergeCell ref="A146:A151"/>
    <mergeCell ref="B146:B151"/>
    <mergeCell ref="C146:C151"/>
    <mergeCell ref="D146:D151"/>
    <mergeCell ref="E146:E151"/>
    <mergeCell ref="F146:F151"/>
    <mergeCell ref="A152:A165"/>
    <mergeCell ref="B152:B165"/>
    <mergeCell ref="C152:C165"/>
    <mergeCell ref="D152:D165"/>
    <mergeCell ref="G146:G151"/>
    <mergeCell ref="F10:F11"/>
    <mergeCell ref="Q8:Q11"/>
    <mergeCell ref="G94:G95"/>
    <mergeCell ref="F38:H38"/>
    <mergeCell ref="B24:B25"/>
    <mergeCell ref="F24:H24"/>
    <mergeCell ref="A93:A95"/>
    <mergeCell ref="B93:B95"/>
    <mergeCell ref="C93:C95"/>
    <mergeCell ref="D93:D95"/>
    <mergeCell ref="E93:E95"/>
    <mergeCell ref="F93:H93"/>
    <mergeCell ref="F94:F95"/>
    <mergeCell ref="F48:H48"/>
    <mergeCell ref="J33:P33"/>
    <mergeCell ref="H35:H36"/>
    <mergeCell ref="F19:H19"/>
    <mergeCell ref="B20:B21"/>
    <mergeCell ref="F20:H20"/>
    <mergeCell ref="J9:L10"/>
    <mergeCell ref="G10:G11"/>
    <mergeCell ref="H10:H11"/>
    <mergeCell ref="I8:I11"/>
    <mergeCell ref="B8:B11"/>
    <mergeCell ref="C8:C11"/>
    <mergeCell ref="D10:D11"/>
    <mergeCell ref="A6:Q7"/>
    <mergeCell ref="D8:E9"/>
    <mergeCell ref="F8:H9"/>
    <mergeCell ref="J8:P8"/>
    <mergeCell ref="M9:M11"/>
    <mergeCell ref="N9:N11"/>
    <mergeCell ref="O9:O11"/>
    <mergeCell ref="P9:P11"/>
    <mergeCell ref="A8:A11"/>
    <mergeCell ref="E10:E11"/>
    <mergeCell ref="A33:A36"/>
    <mergeCell ref="B33:B36"/>
    <mergeCell ref="C33:C36"/>
    <mergeCell ref="D33:E34"/>
    <mergeCell ref="F33:H34"/>
    <mergeCell ref="I33:I36"/>
    <mergeCell ref="D35:D36"/>
    <mergeCell ref="E35:E36"/>
    <mergeCell ref="F35:F36"/>
    <mergeCell ref="G35:G36"/>
    <mergeCell ref="Q33:Q36"/>
    <mergeCell ref="J34:L35"/>
    <mergeCell ref="M34:M36"/>
    <mergeCell ref="N34:N36"/>
    <mergeCell ref="O34:O36"/>
    <mergeCell ref="P34:P36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2012-08-16T08:10:42Z</cp:lastPrinted>
  <dcterms:created xsi:type="dcterms:W3CDTF">2011-02-22T14:35:52Z</dcterms:created>
  <dcterms:modified xsi:type="dcterms:W3CDTF">2012-08-16T08:13:41Z</dcterms:modified>
  <cp:category/>
  <cp:version/>
  <cp:contentType/>
  <cp:contentStatus/>
</cp:coreProperties>
</file>