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6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definedNames>
    <definedName name="_xlnm.Print_Titles" localSheetId="6">'Wykaz przedsięwzięć'!$9:$12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<sst xmlns="http://schemas.openxmlformats.org/spreadsheetml/2006/main" count="805" uniqueCount="389">
  <si>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</si>
  <si>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</si>
  <si>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</si>
  <si>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</si>
  <si>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</si>
  <si>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</si>
  <si>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</si>
  <si>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</si>
  <si>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</si>
  <si>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</si>
  <si>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</si>
  <si>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</si>
  <si>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</si>
  <si>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</si>
  <si>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</si>
  <si>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</si>
  <si>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</si>
  <si>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</si>
  <si>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</si>
  <si>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</si>
  <si>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</si>
  <si>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</si>
  <si>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</si>
  <si>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</si>
  <si>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</si>
  <si>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</si>
  <si>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</si>
  <si>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</si>
  <si>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</si>
  <si>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</si>
  <si>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</si>
  <si>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</si>
  <si>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</si>
  <si>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</si>
  <si>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</si>
  <si>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</si>
  <si>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</si>
  <si>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</si>
  <si>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</si>
  <si>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</si>
  <si>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</si>
  <si>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</si>
  <si>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</si>
  <si>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</si>
  <si>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</si>
  <si>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</si>
  <si>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</si>
  <si>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</si>
  <si>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</si>
  <si>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</si>
  <si>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</si>
  <si>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</si>
  <si>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</si>
  <si>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</si>
  <si>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</si>
  <si>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</si>
  <si>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</si>
  <si>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</si>
  <si>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</si>
  <si>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</si>
  <si>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</si>
  <si>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</si>
  <si>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</si>
  <si>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</si>
  <si>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</si>
  <si>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</si>
  <si>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</si>
  <si>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</si>
  <si>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</si>
  <si>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</si>
  <si>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</si>
  <si>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</si>
  <si>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</si>
  <si>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</si>
  <si>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</si>
  <si>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</si>
  <si>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</si>
  <si>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</si>
  <si>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</si>
  <si>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</si>
  <si>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</si>
  <si>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</si>
  <si>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</si>
  <si>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</si>
  <si>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</si>
  <si>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</si>
  <si>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</si>
  <si>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</si>
  <si>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</si>
  <si>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</si>
  <si>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</si>
  <si>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</si>
  <si>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</si>
  <si>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</si>
  <si>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</si>
  <si>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</si>
  <si>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</si>
  <si>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</si>
  <si>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</si>
  <si>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</si>
  <si>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</si>
  <si>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</si>
  <si>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</si>
  <si>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</si>
  <si>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</si>
  <si>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</si>
  <si>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</si>
  <si>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</si>
  <si>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</si>
  <si>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</si>
  <si>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</si>
  <si>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</si>
  <si>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</si>
  <si>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</si>
  <si>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</si>
  <si>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</si>
  <si>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</si>
  <si>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</si>
  <si>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</si>
  <si>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</si>
  <si>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</si>
  <si>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</si>
  <si>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</si>
  <si>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</si>
  <si>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</si>
  <si>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</si>
  <si>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</si>
  <si>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</si>
  <si>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</si>
  <si>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</si>
  <si>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</si>
  <si>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</si>
  <si>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</si>
  <si>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</si>
  <si>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</si>
  <si>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</si>
  <si>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</si>
  <si>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</si>
  <si>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</si>
  <si>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</si>
  <si>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</si>
  <si>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</si>
  <si>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</si>
  <si>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</si>
  <si>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</si>
  <si>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</si>
  <si>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</si>
  <si>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</si>
  <si>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</si>
  <si>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</si>
  <si>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</si>
  <si>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</si>
  <si>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</si>
  <si>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</si>
  <si>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</si>
  <si>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</si>
  <si>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</si>
  <si>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</si>
  <si>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</si>
  <si>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</si>
  <si>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</si>
  <si>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</si>
  <si>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</si>
  <si>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</si>
  <si>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</si>
  <si>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</si>
  <si>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</si>
  <si>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</si>
  <si>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</si>
  <si>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</si>
  <si>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</si>
  <si>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</si>
  <si>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</si>
  <si>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</si>
  <si>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</si>
  <si>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</si>
  <si>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</si>
  <si>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</si>
  <si>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</si>
  <si>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</si>
  <si>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</si>
  <si>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</si>
  <si>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</si>
  <si>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</si>
  <si>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</si>
  <si>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</si>
  <si>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</si>
  <si>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</si>
  <si>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</si>
  <si>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</si>
  <si>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</si>
  <si>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2.1.4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</si>
  <si>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</si>
  <si>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</si>
  <si>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</si>
  <si>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</si>
  <si>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</si>
  <si>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</si>
  <si>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</si>
  <si>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</si>
  <si>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</si>
  <si>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</si>
  <si>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</si>
  <si>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</si>
  <si>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</si>
  <si>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</si>
  <si>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</si>
  <si>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</si>
  <si>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</si>
  <si>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</si>
  <si>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</si>
  <si>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</si>
  <si>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</si>
  <si>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</si>
  <si>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</si>
  <si>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</si>
  <si>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</si>
  <si>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</si>
  <si>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</si>
  <si>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</si>
  <si>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</si>
  <si>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</si>
  <si>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</si>
  <si>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 xml:space="preserve">okres realizacji       </t>
  </si>
  <si>
    <t xml:space="preserve">Razem </t>
  </si>
  <si>
    <t>1.3.2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</si>
  <si>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</si>
  <si>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</si>
  <si>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>2.1.6</t>
  </si>
  <si>
    <t>2.1.7</t>
  </si>
  <si>
    <t>Lesznowola - Projekt i budowa oświetlenia ul. Dworkowej  i Słonecznej (pkt świetlne)</t>
  </si>
  <si>
    <t>2.1.5</t>
  </si>
  <si>
    <t>2.1.8</t>
  </si>
  <si>
    <t>2.1.10</t>
  </si>
  <si>
    <t>Remont dróg gminnych</t>
  </si>
  <si>
    <t>Utrzymanie czystości i porządku</t>
  </si>
  <si>
    <t>Konserwacja oświetlenia ulicznego (pkt świetlne)</t>
  </si>
  <si>
    <t>Odśnieżanie dróg gminnych</t>
  </si>
  <si>
    <t xml:space="preserve">Nowa Wola - Moderniz, remont  ul. Plonowej I etap </t>
  </si>
  <si>
    <t>ZOPO</t>
  </si>
  <si>
    <t>16.</t>
  </si>
  <si>
    <t>17.</t>
  </si>
  <si>
    <t>18.</t>
  </si>
  <si>
    <t>19.</t>
  </si>
  <si>
    <t>20.</t>
  </si>
  <si>
    <t>UG-RDM</t>
  </si>
  <si>
    <t>UG - ROŚ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</si>
  <si>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</si>
  <si>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</si>
  <si>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</si>
  <si>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</si>
  <si>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</si>
  <si>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</si>
  <si>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</si>
  <si>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</si>
  <si>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</si>
  <si>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</si>
  <si>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</si>
  <si>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</si>
  <si>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</si>
  <si>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</si>
  <si>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</si>
  <si>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</si>
  <si>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</si>
  <si>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>Magdalenka -Proj i budowa ciągu pieszo-rowerowego - III etap</t>
  </si>
  <si>
    <t>2.1.17</t>
  </si>
  <si>
    <t>Dzierżawa gruntu leśnego pod ścieżkę rowerową w Magdalence</t>
  </si>
  <si>
    <t>Udział w kosztach wspólnego biletu</t>
  </si>
  <si>
    <t>Przewóz osób - Linie autobusowe ZTM</t>
  </si>
  <si>
    <t>Monitoring budynków OSP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</si>
  <si>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</si>
  <si>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</si>
  <si>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</si>
  <si>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</si>
  <si>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</si>
  <si>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</si>
  <si>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</si>
  <si>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</si>
  <si>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</si>
  <si>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</si>
  <si>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</si>
  <si>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</si>
  <si>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</si>
  <si>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</si>
  <si>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</si>
  <si>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</si>
  <si>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</si>
  <si>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</si>
  <si>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 xml:space="preserve">Lesznowola - Projekt i  rozbudowa  ul. GRN  </t>
  </si>
  <si>
    <t>40.</t>
  </si>
  <si>
    <t xml:space="preserve">Najem lokalu na potrzeby świetlicy Stara  Iwiczna </t>
  </si>
  <si>
    <t>Usługi telefonii komórkowej</t>
  </si>
  <si>
    <t>Monitorowanie sygnalizacji pożaru</t>
  </si>
  <si>
    <t>GOPS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</si>
  <si>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</si>
  <si>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</si>
  <si>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</si>
  <si>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</si>
  <si>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2.1.20</t>
  </si>
  <si>
    <t>Kolonia Lesznowola - Projekt  i budowa ul. Krótkiej</t>
  </si>
  <si>
    <t>Przeciwdzialanie wykluczeniu cyfrowemu w Gminie Lesznowola</t>
  </si>
  <si>
    <t>Stefanowo- Projekt i przebudowa ul. Uroczej wraz z budową chodnika</t>
  </si>
  <si>
    <t>2.1.21</t>
  </si>
  <si>
    <t>2.1.22</t>
  </si>
  <si>
    <t>2.1.23</t>
  </si>
  <si>
    <t>2.1.24</t>
  </si>
  <si>
    <t>2.1.26</t>
  </si>
  <si>
    <t>Przewóz osób "L"</t>
  </si>
  <si>
    <t>2.1.27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</si>
  <si>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</si>
  <si>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</si>
  <si>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</si>
  <si>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</si>
  <si>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</si>
  <si>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</si>
  <si>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</si>
  <si>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 - Projekt budowy drogi na odcinku od ul. Jedności na działkach nr149/3, 150/4, 151/5 , 152, 159/1, 160/2 i 160/1  wraz z kanalizacja deszczową </t>
  </si>
  <si>
    <t>L A T A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</si>
  <si>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</si>
  <si>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</si>
  <si>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</si>
  <si>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</si>
  <si>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</si>
  <si>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</si>
  <si>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</si>
  <si>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</si>
  <si>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Odszkodowania za drogi</t>
  </si>
  <si>
    <t>Program "Praca z klasą"</t>
  </si>
  <si>
    <t>"Internet dla mieszkańców Gminy Lesznowola"</t>
  </si>
  <si>
    <t>6059 b.p.</t>
  </si>
  <si>
    <t>6059 b.g.</t>
  </si>
  <si>
    <t>Mysiadło-Projekt i budowa przyłącza energetycznego 15 kV do CEiS (j.w.)</t>
  </si>
  <si>
    <t>2.1.3</t>
  </si>
  <si>
    <t>Programy, projekty lub zadania                                      (razem)</t>
  </si>
  <si>
    <t>Najem lokalu na potrzeby świetlicy w Zgorzale</t>
  </si>
  <si>
    <t>Najem lokalu na garażowanie samochodu OSP Mroków</t>
  </si>
  <si>
    <t>Wywóz odpadów komunalnych</t>
  </si>
  <si>
    <t>21.</t>
  </si>
  <si>
    <t xml:space="preserve">Do Uchwały Nr </t>
  </si>
  <si>
    <t xml:space="preserve">z dnia </t>
  </si>
  <si>
    <t>Plan III kwartał 2012</t>
  </si>
  <si>
    <t>Wilcza Góra-Projekt i  budowa ul. Jasnej z odwodnieniem</t>
  </si>
  <si>
    <t>Zamienie- Budowa ul. Błędnej III etap</t>
  </si>
  <si>
    <t>Mysiadło - Projekt i budowa ulic Goździków, Poprzecznej, Wiejskiej i Zakręt wraz z kanalizacją deszczową</t>
  </si>
  <si>
    <t>Najem lokalu na potrzeby sołectwa Magdalenka</t>
  </si>
  <si>
    <t>UG - GGN</t>
  </si>
  <si>
    <t>Zakup usług pozostałych w Urzędzie Gminy</t>
  </si>
  <si>
    <t>Ubezpieczenie mienia i samochodów  Urzędu Gminy</t>
  </si>
  <si>
    <t>Ubezpieczenie samochodów OSP i NNW</t>
  </si>
  <si>
    <t>Zakup usług pozostałych w tym monitorowanie sygnalizacji pożaru</t>
  </si>
  <si>
    <t xml:space="preserve">Dowożenie i odwożenie dzieci niepełnosprawnych do placówek oświatowych </t>
  </si>
  <si>
    <t xml:space="preserve">Transport uczniów do szkół i ze szkół </t>
  </si>
  <si>
    <t>1.2.4</t>
  </si>
  <si>
    <t>1.1.3</t>
  </si>
  <si>
    <t>1.1.4</t>
  </si>
  <si>
    <t>WIELOLETNIA  PROGNOZA  FINANSOWA  GMINY  LESZNOWOLA  NA LATA  2013 - 2022</t>
  </si>
  <si>
    <t>PROGNOZA DŁUGU GMINY LESZNOWOLA NA LATA 2013- 2022</t>
  </si>
  <si>
    <t>2.1.9</t>
  </si>
  <si>
    <t>2.1.19</t>
  </si>
  <si>
    <t>2.1.25</t>
  </si>
  <si>
    <t>1.3.3</t>
  </si>
  <si>
    <t xml:space="preserve">Najem lokalu na potrzeby świetlicy Nowa Iwiczna </t>
  </si>
  <si>
    <r>
      <t xml:space="preserve">Dzierżawa nieruchomości o nr. ew. 36/16   położonej w Nowej Iwicznej  </t>
    </r>
    <r>
      <rPr>
        <sz val="10"/>
        <rFont val="Cambria"/>
        <family val="1"/>
      </rPr>
      <t>- filia szkoły</t>
    </r>
  </si>
  <si>
    <t>Zakup usług pozostałych - komunalne</t>
  </si>
  <si>
    <t>Usługi telefonii komórkowej OSP</t>
  </si>
  <si>
    <t>Zakup energii - Szkoły</t>
  </si>
  <si>
    <t>Usługi telefonii komórkowej - Szkoły</t>
  </si>
  <si>
    <t>Zakup energii - Przedszkola</t>
  </si>
  <si>
    <t>Odławianie zwierząt bezdomnych</t>
  </si>
  <si>
    <t>UG-ROŚ</t>
  </si>
  <si>
    <t>Zakup energii - Gimnazjum</t>
  </si>
  <si>
    <t>Usługi telefonii komórkowej - ZOPO</t>
  </si>
  <si>
    <t>Zakup energii -Stołówki</t>
  </si>
  <si>
    <t>Usługi telefonii komórkowej- Edukacyjna opieka</t>
  </si>
  <si>
    <t>Zakup usług pozostałych - ochrona środowiska</t>
  </si>
  <si>
    <t>Zakup usług pozostałych - Przedszkola</t>
  </si>
  <si>
    <t>Zakup usług pozostałych - ZOPO</t>
  </si>
  <si>
    <t>Przyspieszenie wzrostu konkurencyjności województwa mazowieckiego, przez budowanie społeczeństwa informatycznego i gospodarki opartej na wiedzy, przez stworzenie zintegrowanych baz wiedzy o Mazowszu</t>
  </si>
  <si>
    <t>Rozwój elektronicznej administracji w samorządach województwa mazowieckiego wspomagającej niwelowanie dwudzielności potencjału województwa</t>
  </si>
  <si>
    <t>10.095.000,-zł</t>
  </si>
  <si>
    <t>8.600.000,-zł</t>
  </si>
  <si>
    <t>Stachowo, Wólka Kosowska, PAN Kosów i Mroków - Projekt i budowa ul. Karasia z odwodnieniem</t>
  </si>
  <si>
    <t>2.1.28</t>
  </si>
  <si>
    <t>2.1.29</t>
  </si>
  <si>
    <t>34.</t>
  </si>
  <si>
    <t xml:space="preserve">WYKAZ PRZEDSIĘWZIĘĆ GMINY LESZNOWOLA  NA LATA 2013 - 2017  rok </t>
  </si>
  <si>
    <t>53.141.566,-zł</t>
  </si>
  <si>
    <t xml:space="preserve">Lesznowola - Projekt budowy budynku socjalnego </t>
  </si>
  <si>
    <t>1.2.5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</si>
</sst>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>
        <color indexed="63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/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40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top" wrapText="1"/>
    </xf>
    <xf numFmtId="0" fontId="44" fillId="24" borderId="0" xfId="0" applyFont="1" applyFill="1" applyBorder="1" applyAlignment="1">
      <alignment vertical="top"/>
    </xf>
    <xf numFmtId="0" fontId="45" fillId="24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1" fillId="0" borderId="20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textRotation="90"/>
    </xf>
    <xf numFmtId="3" fontId="44" fillId="0" borderId="14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22" borderId="21" xfId="0" applyFont="1" applyFill="1" applyBorder="1" applyAlignment="1">
      <alignment horizontal="center" vertical="center"/>
    </xf>
    <xf numFmtId="3" fontId="41" fillId="22" borderId="14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65" fontId="41" fillId="0" borderId="14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3" fontId="44" fillId="24" borderId="14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1" fillId="0" borderId="26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3" fontId="40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3" fontId="29" fillId="22" borderId="14" xfId="0" applyNumberFormat="1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29" fillId="0" borderId="35" xfId="0" applyFont="1" applyFill="1" applyBorder="1" applyAlignment="1">
      <alignment horizontal="left" vertical="center" wrapText="1"/>
    </xf>
    <xf numFmtId="3" fontId="29" fillId="0" borderId="35" xfId="0" applyNumberFormat="1" applyFont="1" applyBorder="1" applyAlignment="1">
      <alignment horizontal="center" vertical="center"/>
    </xf>
    <xf numFmtId="3" fontId="40" fillId="0" borderId="3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1" fillId="25" borderId="14" xfId="0" applyNumberFormat="1" applyFont="1" applyFill="1" applyBorder="1" applyAlignment="1">
      <alignment horizontal="center" vertical="center"/>
    </xf>
    <xf numFmtId="3" fontId="41" fillId="26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65" fontId="41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1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6" xfId="0" applyNumberFormat="1" applyFont="1" applyBorder="1" applyAlignment="1">
      <alignment/>
    </xf>
    <xf numFmtId="1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 vertical="top" wrapText="1"/>
    </xf>
    <xf numFmtId="3" fontId="18" fillId="0" borderId="33" xfId="0" applyNumberFormat="1" applyFont="1" applyBorder="1" applyAlignment="1">
      <alignment horizontal="center" vertical="top" wrapText="1"/>
    </xf>
    <xf numFmtId="3" fontId="18" fillId="0" borderId="33" xfId="0" applyNumberFormat="1" applyFont="1" applyBorder="1" applyAlignment="1">
      <alignment/>
    </xf>
    <xf numFmtId="164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horizontal="center"/>
    </xf>
    <xf numFmtId="3" fontId="21" fillId="0" borderId="40" xfId="0" applyNumberFormat="1" applyFont="1" applyBorder="1" applyAlignment="1">
      <alignment horizontal="center" vertical="top" wrapText="1"/>
    </xf>
    <xf numFmtId="3" fontId="18" fillId="0" borderId="40" xfId="0" applyNumberFormat="1" applyFont="1" applyBorder="1" applyAlignment="1">
      <alignment horizontal="center" vertical="top" wrapText="1"/>
    </xf>
    <xf numFmtId="3" fontId="18" fillId="0" borderId="40" xfId="0" applyNumberFormat="1" applyFont="1" applyBorder="1" applyAlignment="1">
      <alignment/>
    </xf>
    <xf numFmtId="164" fontId="21" fillId="22" borderId="37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18" fillId="22" borderId="38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40" xfId="0" applyNumberFormat="1" applyFont="1" applyFill="1" applyBorder="1" applyAlignment="1">
      <alignment horizontal="center"/>
    </xf>
    <xf numFmtId="3" fontId="18" fillId="22" borderId="40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4" xfId="0" applyNumberFormat="1" applyFont="1" applyFill="1" applyBorder="1" applyAlignment="1">
      <alignment horizontal="center"/>
    </xf>
    <xf numFmtId="3" fontId="21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/>
    </xf>
    <xf numFmtId="3" fontId="18" fillId="22" borderId="34" xfId="0" applyNumberFormat="1" applyFont="1" applyFill="1" applyBorder="1" applyAlignment="1">
      <alignment/>
    </xf>
    <xf numFmtId="164" fontId="21" fillId="22" borderId="36" xfId="0" applyNumberFormat="1" applyFont="1" applyFill="1" applyBorder="1" applyAlignment="1">
      <alignment/>
    </xf>
    <xf numFmtId="1" fontId="21" fillId="22" borderId="33" xfId="0" applyNumberFormat="1" applyFont="1" applyFill="1" applyBorder="1" applyAlignment="1">
      <alignment horizontal="center"/>
    </xf>
    <xf numFmtId="3" fontId="21" fillId="22" borderId="33" xfId="0" applyNumberFormat="1" applyFont="1" applyFill="1" applyBorder="1" applyAlignment="1">
      <alignment horizontal="center" vertical="top" wrapText="1"/>
    </xf>
    <xf numFmtId="3" fontId="18" fillId="22" borderId="33" xfId="0" applyNumberFormat="1" applyFont="1" applyFill="1" applyBorder="1" applyAlignment="1">
      <alignment/>
    </xf>
    <xf numFmtId="3" fontId="21" fillId="22" borderId="38" xfId="0" applyNumberFormat="1" applyFont="1" applyFill="1" applyBorder="1" applyAlignment="1">
      <alignment horizontal="center" vertical="top" wrapText="1"/>
    </xf>
    <xf numFmtId="3" fontId="21" fillId="22" borderId="40" xfId="0" applyNumberFormat="1" applyFont="1" applyFill="1" applyBorder="1" applyAlignment="1">
      <alignment horizontal="center" vertical="top" wrapText="1"/>
    </xf>
    <xf numFmtId="3" fontId="18" fillId="22" borderId="33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18" fillId="22" borderId="40" xfId="0" applyNumberFormat="1" applyFont="1" applyFill="1" applyBorder="1" applyAlignment="1">
      <alignment horizontal="center" vertical="top" wrapText="1"/>
    </xf>
    <xf numFmtId="3" fontId="21" fillId="22" borderId="34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 horizontal="center" vertical="top" wrapText="1"/>
    </xf>
    <xf numFmtId="3" fontId="20" fillId="0" borderId="42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22" borderId="45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4" xfId="0" applyNumberFormat="1" applyFont="1" applyFill="1" applyBorder="1" applyAlignment="1">
      <alignment/>
    </xf>
    <xf numFmtId="3" fontId="18" fillId="22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Border="1" applyAlignment="1">
      <alignment/>
    </xf>
    <xf numFmtId="0" fontId="18" fillId="0" borderId="48" xfId="0" applyFont="1" applyBorder="1" applyAlignment="1">
      <alignment/>
    </xf>
    <xf numFmtId="0" fontId="0" fillId="22" borderId="48" xfId="0" applyNumberFormat="1" applyFill="1" applyBorder="1" applyAlignment="1">
      <alignment/>
    </xf>
    <xf numFmtId="0" fontId="0" fillId="22" borderId="48" xfId="0" applyFill="1" applyBorder="1" applyAlignment="1">
      <alignment/>
    </xf>
    <xf numFmtId="3" fontId="0" fillId="22" borderId="48" xfId="0" applyNumberFormat="1" applyFill="1" applyBorder="1" applyAlignment="1">
      <alignment/>
    </xf>
    <xf numFmtId="0" fontId="0" fillId="0" borderId="48" xfId="0" applyNumberFormat="1" applyBorder="1" applyAlignment="1">
      <alignment/>
    </xf>
    <xf numFmtId="3" fontId="0" fillId="27" borderId="48" xfId="0" applyNumberFormat="1" applyFill="1" applyBorder="1" applyAlignment="1">
      <alignment/>
    </xf>
    <xf numFmtId="0" fontId="18" fillId="27" borderId="49" xfId="0" applyFont="1" applyFill="1" applyBorder="1" applyAlignment="1">
      <alignment/>
    </xf>
    <xf numFmtId="3" fontId="0" fillId="27" borderId="50" xfId="0" applyNumberFormat="1" applyFill="1" applyBorder="1" applyAlignment="1">
      <alignment/>
    </xf>
    <xf numFmtId="0" fontId="0" fillId="27" borderId="51" xfId="0" applyFill="1" applyBorder="1" applyAlignment="1">
      <alignment/>
    </xf>
    <xf numFmtId="0" fontId="0" fillId="27" borderId="52" xfId="0" applyFill="1" applyBorder="1" applyAlignment="1">
      <alignment/>
    </xf>
    <xf numFmtId="0" fontId="0" fillId="27" borderId="48" xfId="0" applyFill="1" applyBorder="1" applyAlignment="1">
      <alignment/>
    </xf>
    <xf numFmtId="0" fontId="18" fillId="27" borderId="48" xfId="0" applyFont="1" applyFill="1" applyBorder="1" applyAlignment="1">
      <alignment/>
    </xf>
    <xf numFmtId="3" fontId="0" fillId="27" borderId="0" xfId="0" applyNumberFormat="1" applyFill="1" applyAlignment="1">
      <alignment/>
    </xf>
    <xf numFmtId="3" fontId="27" fillId="27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51" fillId="0" borderId="54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4" fillId="0" borderId="5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  <xf numFmtId="3" fontId="50" fillId="0" borderId="16" xfId="0" applyNumberFormat="1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48" xfId="0" applyFont="1" applyBorder="1" applyAlignment="1">
      <alignment vertical="center" wrapText="1"/>
    </xf>
    <xf numFmtId="0" fontId="37" fillId="0" borderId="58" xfId="0" applyFont="1" applyBorder="1" applyAlignment="1">
      <alignment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28" borderId="16" xfId="0" applyFont="1" applyFill="1" applyBorder="1" applyAlignment="1">
      <alignment horizontal="center" vertical="center" wrapText="1"/>
    </xf>
    <xf numFmtId="3" fontId="52" fillId="28" borderId="16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3" fontId="40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40" fillId="29" borderId="14" xfId="0" applyNumberFormat="1" applyFont="1" applyFill="1" applyBorder="1" applyAlignment="1">
      <alignment horizontal="center" vertical="center"/>
    </xf>
    <xf numFmtId="165" fontId="29" fillId="25" borderId="14" xfId="0" applyNumberFormat="1" applyFont="1" applyFill="1" applyBorder="1" applyAlignment="1">
      <alignment horizontal="center" vertical="center"/>
    </xf>
    <xf numFmtId="4" fontId="29" fillId="25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41" fillId="24" borderId="14" xfId="0" applyNumberFormat="1" applyFont="1" applyFill="1" applyBorder="1" applyAlignment="1">
      <alignment horizontal="center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3" fontId="41" fillId="29" borderId="19" xfId="0" applyNumberFormat="1" applyFont="1" applyFill="1" applyBorder="1" applyAlignment="1">
      <alignment horizontal="center" vertical="center"/>
    </xf>
    <xf numFmtId="3" fontId="44" fillId="29" borderId="19" xfId="0" applyNumberFormat="1" applyFont="1" applyFill="1" applyBorder="1" applyAlignment="1">
      <alignment horizontal="center" vertical="center"/>
    </xf>
    <xf numFmtId="3" fontId="41" fillId="26" borderId="19" xfId="0" applyNumberFormat="1" applyFont="1" applyFill="1" applyBorder="1" applyAlignment="1">
      <alignment horizontal="center" vertical="center" wrapText="1"/>
    </xf>
    <xf numFmtId="3" fontId="41" fillId="29" borderId="19" xfId="0" applyNumberFormat="1" applyFont="1" applyFill="1" applyBorder="1" applyAlignment="1">
      <alignment horizontal="center" vertical="center" wrapText="1"/>
    </xf>
    <xf numFmtId="4" fontId="41" fillId="29" borderId="19" xfId="0" applyNumberFormat="1" applyFont="1" applyFill="1" applyBorder="1" applyAlignment="1">
      <alignment horizontal="center" vertical="center" wrapText="1"/>
    </xf>
    <xf numFmtId="165" fontId="41" fillId="29" borderId="19" xfId="0" applyNumberFormat="1" applyFont="1" applyFill="1" applyBorder="1" applyAlignment="1">
      <alignment horizontal="center" vertical="center" wrapText="1"/>
    </xf>
    <xf numFmtId="3" fontId="41" fillId="29" borderId="60" xfId="0" applyNumberFormat="1" applyFont="1" applyFill="1" applyBorder="1" applyAlignment="1">
      <alignment horizontal="center" vertical="center" wrapText="1"/>
    </xf>
    <xf numFmtId="3" fontId="44" fillId="29" borderId="19" xfId="0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37" fillId="0" borderId="62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63" xfId="0" applyFont="1" applyBorder="1" applyAlignment="1">
      <alignment vertical="center" wrapText="1"/>
    </xf>
    <xf numFmtId="3" fontId="50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3" fontId="41" fillId="0" borderId="64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41" fillId="22" borderId="65" xfId="0" applyNumberFormat="1" applyFont="1" applyFill="1" applyBorder="1" applyAlignment="1">
      <alignment horizontal="center" vertical="center"/>
    </xf>
    <xf numFmtId="3" fontId="41" fillId="22" borderId="65" xfId="0" applyNumberFormat="1" applyFont="1" applyFill="1" applyBorder="1" applyAlignment="1">
      <alignment horizontal="center" vertical="center" wrapText="1"/>
    </xf>
    <xf numFmtId="0" fontId="41" fillId="25" borderId="65" xfId="0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2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3" xfId="0" applyNumberFormat="1" applyFont="1" applyFill="1" applyBorder="1" applyAlignment="1">
      <alignment horizontal="center" vertical="top" wrapText="1"/>
    </xf>
    <xf numFmtId="3" fontId="30" fillId="27" borderId="48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3" xfId="0" applyNumberFormat="1" applyFont="1" applyFill="1" applyBorder="1" applyAlignment="1">
      <alignment/>
    </xf>
    <xf numFmtId="3" fontId="0" fillId="27" borderId="48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27" borderId="58" xfId="0" applyFont="1" applyFill="1" applyBorder="1" applyAlignment="1">
      <alignment/>
    </xf>
    <xf numFmtId="164" fontId="18" fillId="0" borderId="36" xfId="0" applyNumberFormat="1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0" fontId="0" fillId="27" borderId="66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40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27" borderId="50" xfId="0" applyNumberFormat="1" applyFont="1" applyFill="1" applyBorder="1" applyAlignment="1">
      <alignment/>
    </xf>
    <xf numFmtId="3" fontId="0" fillId="27" borderId="49" xfId="0" applyNumberFormat="1" applyFont="1" applyFill="1" applyBorder="1" applyAlignment="1">
      <alignment/>
    </xf>
    <xf numFmtId="3" fontId="0" fillId="27" borderId="66" xfId="0" applyNumberFormat="1" applyFont="1" applyFill="1" applyBorder="1" applyAlignment="1">
      <alignment/>
    </xf>
    <xf numFmtId="164" fontId="18" fillId="22" borderId="37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34" xfId="0" applyNumberFormat="1" applyFont="1" applyFill="1" applyBorder="1" applyAlignment="1">
      <alignment horizontal="center"/>
    </xf>
    <xf numFmtId="3" fontId="0" fillId="27" borderId="67" xfId="0" applyNumberFormat="1" applyFont="1" applyFill="1" applyBorder="1" applyAlignment="1">
      <alignment/>
    </xf>
    <xf numFmtId="164" fontId="18" fillId="22" borderId="36" xfId="0" applyNumberFormat="1" applyFont="1" applyFill="1" applyBorder="1" applyAlignment="1">
      <alignment/>
    </xf>
    <xf numFmtId="1" fontId="18" fillId="22" borderId="33" xfId="0" applyNumberFormat="1" applyFont="1" applyFill="1" applyBorder="1" applyAlignment="1">
      <alignment horizontal="center"/>
    </xf>
    <xf numFmtId="164" fontId="18" fillId="22" borderId="39" xfId="0" applyNumberFormat="1" applyFont="1" applyFill="1" applyBorder="1" applyAlignment="1">
      <alignment/>
    </xf>
    <xf numFmtId="1" fontId="18" fillId="22" borderId="40" xfId="0" applyNumberFormat="1" applyFont="1" applyFill="1" applyBorder="1" applyAlignment="1">
      <alignment horizontal="center"/>
    </xf>
    <xf numFmtId="164" fontId="18" fillId="0" borderId="41" xfId="0" applyNumberFormat="1" applyFont="1" applyBorder="1" applyAlignment="1">
      <alignment/>
    </xf>
    <xf numFmtId="1" fontId="18" fillId="0" borderId="3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69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left" vertical="center" wrapText="1"/>
    </xf>
    <xf numFmtId="3" fontId="29" fillId="0" borderId="55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30" borderId="55" xfId="0" applyFont="1" applyFill="1" applyBorder="1" applyAlignment="1">
      <alignment horizontal="center" vertical="center" wrapText="1"/>
    </xf>
    <xf numFmtId="3" fontId="53" fillId="30" borderId="55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50" fillId="31" borderId="14" xfId="0" applyNumberFormat="1" applyFont="1" applyFill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/>
    </xf>
    <xf numFmtId="3" fontId="50" fillId="0" borderId="53" xfId="0" applyNumberFormat="1" applyFont="1" applyBorder="1" applyAlignment="1">
      <alignment horizontal="center" vertical="center"/>
    </xf>
    <xf numFmtId="3" fontId="50" fillId="0" borderId="53" xfId="0" applyNumberFormat="1" applyFont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54" fillId="0" borderId="48" xfId="0" applyFont="1" applyBorder="1" applyAlignment="1">
      <alignment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3" fontId="29" fillId="0" borderId="75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3" fontId="50" fillId="0" borderId="76" xfId="0" applyNumberFormat="1" applyFont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3" fontId="52" fillId="28" borderId="77" xfId="0" applyNumberFormat="1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/>
    </xf>
    <xf numFmtId="3" fontId="50" fillId="0" borderId="79" xfId="0" applyNumberFormat="1" applyFont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3" fontId="50" fillId="0" borderId="81" xfId="0" applyNumberFormat="1" applyFont="1" applyBorder="1" applyAlignment="1">
      <alignment horizontal="center" vertical="center"/>
    </xf>
    <xf numFmtId="3" fontId="50" fillId="0" borderId="82" xfId="0" applyNumberFormat="1" applyFont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2" fontId="29" fillId="0" borderId="84" xfId="0" applyNumberFormat="1" applyFont="1" applyFill="1" applyBorder="1" applyAlignment="1">
      <alignment horizontal="left" vertical="center" wrapText="1"/>
    </xf>
    <xf numFmtId="3" fontId="29" fillId="0" borderId="74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0" fontId="53" fillId="30" borderId="55" xfId="0" applyFont="1" applyFill="1" applyBorder="1" applyAlignment="1">
      <alignment horizontal="center" vertical="center" wrapText="1"/>
    </xf>
    <xf numFmtId="0" fontId="37" fillId="0" borderId="86" xfId="0" applyFont="1" applyBorder="1" applyAlignment="1">
      <alignment vertical="center" wrapText="1"/>
    </xf>
    <xf numFmtId="0" fontId="37" fillId="0" borderId="70" xfId="0" applyFont="1" applyFill="1" applyBorder="1" applyAlignment="1">
      <alignment horizontal="center" vertical="center"/>
    </xf>
    <xf numFmtId="3" fontId="50" fillId="0" borderId="53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Border="1" applyAlignment="1">
      <alignment horizontal="center" vertical="center"/>
    </xf>
    <xf numFmtId="3" fontId="55" fillId="32" borderId="87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center" vertical="center" wrapText="1"/>
    </xf>
    <xf numFmtId="3" fontId="29" fillId="0" borderId="74" xfId="0" applyNumberFormat="1" applyFont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29" borderId="55" xfId="0" applyNumberFormat="1" applyFont="1" applyFill="1" applyBorder="1" applyAlignment="1">
      <alignment horizontal="center" vertical="center" wrapText="1"/>
    </xf>
    <xf numFmtId="0" fontId="29" fillId="29" borderId="55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left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3" fontId="29" fillId="0" borderId="89" xfId="0" applyNumberFormat="1" applyFont="1" applyBorder="1" applyAlignment="1">
      <alignment horizontal="center" vertical="center" wrapText="1"/>
    </xf>
    <xf numFmtId="3" fontId="29" fillId="29" borderId="89" xfId="0" applyNumberFormat="1" applyFont="1" applyFill="1" applyBorder="1" applyAlignment="1">
      <alignment horizontal="center" vertical="center" wrapText="1"/>
    </xf>
    <xf numFmtId="0" fontId="29" fillId="29" borderId="89" xfId="0" applyFont="1" applyFill="1" applyBorder="1" applyAlignment="1">
      <alignment horizontal="center" vertical="center" wrapText="1"/>
    </xf>
    <xf numFmtId="3" fontId="40" fillId="0" borderId="53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left" vertical="center"/>
    </xf>
    <xf numFmtId="0" fontId="44" fillId="0" borderId="92" xfId="0" applyFont="1" applyBorder="1" applyAlignment="1">
      <alignment horizontal="left" vertical="center" wrapText="1"/>
    </xf>
    <xf numFmtId="3" fontId="44" fillId="0" borderId="74" xfId="0" applyNumberFormat="1" applyFont="1" applyBorder="1" applyAlignment="1">
      <alignment horizontal="center" vertical="center"/>
    </xf>
    <xf numFmtId="3" fontId="44" fillId="0" borderId="74" xfId="0" applyNumberFormat="1" applyFont="1" applyFill="1" applyBorder="1" applyAlignment="1">
      <alignment horizontal="center" vertical="center" wrapText="1"/>
    </xf>
    <xf numFmtId="3" fontId="44" fillId="29" borderId="92" xfId="0" applyNumberFormat="1" applyFont="1" applyFill="1" applyBorder="1" applyAlignment="1">
      <alignment horizontal="center" vertical="center"/>
    </xf>
    <xf numFmtId="3" fontId="44" fillId="0" borderId="74" xfId="0" applyNumberFormat="1" applyFont="1" applyFill="1" applyBorder="1" applyAlignment="1">
      <alignment horizontal="center" vertical="center"/>
    </xf>
    <xf numFmtId="3" fontId="41" fillId="29" borderId="21" xfId="0" applyNumberFormat="1" applyFont="1" applyFill="1" applyBorder="1" applyAlignment="1">
      <alignment horizontal="center" vertical="center"/>
    </xf>
    <xf numFmtId="3" fontId="44" fillId="29" borderId="21" xfId="0" applyNumberFormat="1" applyFont="1" applyFill="1" applyBorder="1" applyAlignment="1">
      <alignment horizontal="center" vertical="center"/>
    </xf>
    <xf numFmtId="3" fontId="44" fillId="29" borderId="21" xfId="0" applyNumberFormat="1" applyFont="1" applyFill="1" applyBorder="1" applyAlignment="1">
      <alignment horizontal="center" vertical="center" wrapText="1"/>
    </xf>
    <xf numFmtId="3" fontId="41" fillId="29" borderId="21" xfId="0" applyNumberFormat="1" applyFont="1" applyFill="1" applyBorder="1" applyAlignment="1">
      <alignment horizontal="center" vertical="center" wrapText="1"/>
    </xf>
    <xf numFmtId="3" fontId="44" fillId="29" borderId="90" xfId="0" applyNumberFormat="1" applyFont="1" applyFill="1" applyBorder="1" applyAlignment="1">
      <alignment horizontal="center" vertical="center"/>
    </xf>
    <xf numFmtId="3" fontId="41" fillId="29" borderId="9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41" fillId="33" borderId="29" xfId="0" applyNumberFormat="1" applyFont="1" applyFill="1" applyBorder="1" applyAlignment="1">
      <alignment horizontal="center" vertical="center"/>
    </xf>
    <xf numFmtId="3" fontId="44" fillId="33" borderId="29" xfId="0" applyNumberFormat="1" applyFont="1" applyFill="1" applyBorder="1" applyAlignment="1">
      <alignment horizontal="center" vertical="center"/>
    </xf>
    <xf numFmtId="3" fontId="44" fillId="33" borderId="29" xfId="0" applyNumberFormat="1" applyFont="1" applyFill="1" applyBorder="1" applyAlignment="1">
      <alignment horizontal="center" vertical="center" wrapText="1"/>
    </xf>
    <xf numFmtId="3" fontId="41" fillId="33" borderId="29" xfId="0" applyNumberFormat="1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center" vertical="center"/>
    </xf>
    <xf numFmtId="3" fontId="44" fillId="33" borderId="84" xfId="0" applyNumberFormat="1" applyFont="1" applyFill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 wrapText="1"/>
    </xf>
    <xf numFmtId="165" fontId="41" fillId="33" borderId="14" xfId="0" applyNumberFormat="1" applyFont="1" applyFill="1" applyBorder="1" applyAlignment="1">
      <alignment horizontal="center" vertical="center" wrapText="1"/>
    </xf>
    <xf numFmtId="3" fontId="41" fillId="33" borderId="94" xfId="0" applyNumberFormat="1" applyFont="1" applyFill="1" applyBorder="1" applyAlignment="1">
      <alignment horizontal="center" vertical="center" wrapText="1"/>
    </xf>
    <xf numFmtId="0" fontId="40" fillId="25" borderId="65" xfId="0" applyNumberFormat="1" applyFont="1" applyFill="1" applyBorder="1" applyAlignment="1">
      <alignment horizontal="center" vertical="center" wrapText="1"/>
    </xf>
    <xf numFmtId="0" fontId="41" fillId="34" borderId="65" xfId="0" applyNumberFormat="1" applyFont="1" applyFill="1" applyBorder="1" applyAlignment="1">
      <alignment horizontal="center" vertical="center"/>
    </xf>
    <xf numFmtId="3" fontId="40" fillId="33" borderId="14" xfId="0" applyNumberFormat="1" applyFont="1" applyFill="1" applyBorder="1" applyAlignment="1">
      <alignment horizontal="center" vertical="center"/>
    </xf>
    <xf numFmtId="3" fontId="29" fillId="33" borderId="14" xfId="0" applyNumberFormat="1" applyFont="1" applyFill="1" applyBorder="1" applyAlignment="1">
      <alignment horizontal="center" vertical="center"/>
    </xf>
    <xf numFmtId="4" fontId="29" fillId="34" borderId="25" xfId="0" applyNumberFormat="1" applyFont="1" applyFill="1" applyBorder="1" applyAlignment="1">
      <alignment horizontal="center" vertical="center"/>
    </xf>
    <xf numFmtId="3" fontId="40" fillId="33" borderId="28" xfId="0" applyNumberFormat="1" applyFont="1" applyFill="1" applyBorder="1" applyAlignment="1">
      <alignment horizontal="center" vertical="center"/>
    </xf>
    <xf numFmtId="165" fontId="29" fillId="34" borderId="14" xfId="0" applyNumberFormat="1" applyFont="1" applyFill="1" applyBorder="1" applyAlignment="1">
      <alignment horizontal="center" vertical="center"/>
    </xf>
    <xf numFmtId="4" fontId="29" fillId="33" borderId="14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0" fontId="37" fillId="0" borderId="95" xfId="0" applyFont="1" applyBorder="1" applyAlignment="1">
      <alignment vertical="center" wrapText="1"/>
    </xf>
    <xf numFmtId="0" fontId="37" fillId="0" borderId="59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53" fillId="30" borderId="96" xfId="0" applyFont="1" applyFill="1" applyBorder="1" applyAlignment="1">
      <alignment horizontal="center" vertical="center"/>
    </xf>
    <xf numFmtId="0" fontId="53" fillId="30" borderId="97" xfId="0" applyFont="1" applyFill="1" applyBorder="1" applyAlignment="1">
      <alignment horizontal="left" vertical="center" wrapText="1"/>
    </xf>
    <xf numFmtId="0" fontId="53" fillId="30" borderId="61" xfId="0" applyFont="1" applyFill="1" applyBorder="1" applyAlignment="1">
      <alignment horizontal="center" vertical="center" wrapText="1"/>
    </xf>
    <xf numFmtId="3" fontId="53" fillId="30" borderId="61" xfId="0" applyNumberFormat="1" applyFont="1" applyFill="1" applyBorder="1" applyAlignment="1">
      <alignment horizontal="center" vertical="center" wrapText="1"/>
    </xf>
    <xf numFmtId="3" fontId="56" fillId="30" borderId="61" xfId="0" applyNumberFormat="1" applyFont="1" applyFill="1" applyBorder="1" applyAlignment="1">
      <alignment horizontal="center" vertical="center" wrapText="1"/>
    </xf>
    <xf numFmtId="3" fontId="55" fillId="32" borderId="98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7" fillId="0" borderId="69" xfId="0" applyFont="1" applyBorder="1" applyAlignment="1">
      <alignment vertical="center" wrapText="1"/>
    </xf>
    <xf numFmtId="3" fontId="29" fillId="0" borderId="55" xfId="0" applyNumberFormat="1" applyFont="1" applyFill="1" applyBorder="1" applyAlignment="1">
      <alignment horizontal="center" vertical="center" wrapText="1"/>
    </xf>
    <xf numFmtId="3" fontId="50" fillId="0" borderId="87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166" fontId="53" fillId="35" borderId="96" xfId="0" applyNumberFormat="1" applyFont="1" applyFill="1" applyBorder="1" applyAlignment="1">
      <alignment horizontal="center" vertical="center"/>
    </xf>
    <xf numFmtId="0" fontId="53" fillId="35" borderId="97" xfId="0" applyFont="1" applyFill="1" applyBorder="1" applyAlignment="1">
      <alignment horizontal="left" vertical="center" wrapText="1"/>
    </xf>
    <xf numFmtId="0" fontId="53" fillId="35" borderId="61" xfId="0" applyFont="1" applyFill="1" applyBorder="1" applyAlignment="1">
      <alignment horizontal="center" vertical="center" wrapText="1"/>
    </xf>
    <xf numFmtId="3" fontId="55" fillId="35" borderId="61" xfId="0" applyNumberFormat="1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3" fontId="55" fillId="35" borderId="14" xfId="0" applyNumberFormat="1" applyFont="1" applyFill="1" applyBorder="1" applyAlignment="1">
      <alignment horizontal="center" vertical="center" wrapText="1"/>
    </xf>
    <xf numFmtId="166" fontId="55" fillId="35" borderId="70" xfId="0" applyNumberFormat="1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 wrapText="1"/>
    </xf>
    <xf numFmtId="3" fontId="55" fillId="35" borderId="53" xfId="0" applyNumberFormat="1" applyFont="1" applyFill="1" applyBorder="1" applyAlignment="1">
      <alignment horizontal="center" vertical="center" wrapText="1"/>
    </xf>
    <xf numFmtId="0" fontId="53" fillId="31" borderId="70" xfId="0" applyFont="1" applyFill="1" applyBorder="1" applyAlignment="1">
      <alignment horizontal="center" vertical="center"/>
    </xf>
    <xf numFmtId="2" fontId="55" fillId="31" borderId="29" xfId="0" applyNumberFormat="1" applyFont="1" applyFill="1" applyBorder="1" applyAlignment="1">
      <alignment horizontal="left" vertical="center" wrapText="1"/>
    </xf>
    <xf numFmtId="0" fontId="53" fillId="31" borderId="14" xfId="0" applyFont="1" applyFill="1" applyBorder="1" applyAlignment="1">
      <alignment horizontal="center" vertical="center" wrapText="1"/>
    </xf>
    <xf numFmtId="0" fontId="53" fillId="36" borderId="72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left" vertical="center" wrapText="1"/>
    </xf>
    <xf numFmtId="0" fontId="51" fillId="36" borderId="55" xfId="0" applyFont="1" applyFill="1" applyBorder="1" applyAlignment="1">
      <alignment horizontal="center" vertical="center" wrapText="1"/>
    </xf>
    <xf numFmtId="3" fontId="53" fillId="36" borderId="55" xfId="0" applyNumberFormat="1" applyFont="1" applyFill="1" applyBorder="1" applyAlignment="1">
      <alignment horizontal="center" vertical="center" wrapText="1"/>
    </xf>
    <xf numFmtId="3" fontId="53" fillId="36" borderId="87" xfId="0" applyNumberFormat="1" applyFont="1" applyFill="1" applyBorder="1" applyAlignment="1">
      <alignment horizontal="center" vertical="center"/>
    </xf>
    <xf numFmtId="0" fontId="53" fillId="36" borderId="70" xfId="0" applyFont="1" applyFill="1" applyBorder="1" applyAlignment="1">
      <alignment horizontal="center" vertical="center"/>
    </xf>
    <xf numFmtId="0" fontId="53" fillId="36" borderId="29" xfId="0" applyFont="1" applyFill="1" applyBorder="1" applyAlignment="1">
      <alignment horizontal="left" vertical="center" wrapText="1"/>
    </xf>
    <xf numFmtId="0" fontId="51" fillId="36" borderId="14" xfId="0" applyFont="1" applyFill="1" applyBorder="1" applyAlignment="1">
      <alignment horizontal="center" vertical="center" wrapText="1"/>
    </xf>
    <xf numFmtId="3" fontId="53" fillId="36" borderId="14" xfId="0" applyNumberFormat="1" applyFont="1" applyFill="1" applyBorder="1" applyAlignment="1">
      <alignment horizontal="center" vertical="center" wrapText="1"/>
    </xf>
    <xf numFmtId="0" fontId="53" fillId="31" borderId="16" xfId="0" applyFont="1" applyFill="1" applyBorder="1" applyAlignment="1">
      <alignment horizontal="center" vertical="center" wrapText="1"/>
    </xf>
    <xf numFmtId="3" fontId="53" fillId="31" borderId="14" xfId="0" applyNumberFormat="1" applyFont="1" applyFill="1" applyBorder="1" applyAlignment="1">
      <alignment horizontal="center" vertical="center" wrapText="1"/>
    </xf>
    <xf numFmtId="3" fontId="53" fillId="31" borderId="53" xfId="0" applyNumberFormat="1" applyFont="1" applyFill="1" applyBorder="1" applyAlignment="1">
      <alignment horizontal="center" vertical="center" wrapText="1"/>
    </xf>
    <xf numFmtId="0" fontId="57" fillId="4" borderId="99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/>
    </xf>
    <xf numFmtId="0" fontId="29" fillId="4" borderId="57" xfId="0" applyFont="1" applyFill="1" applyBorder="1" applyAlignment="1">
      <alignment/>
    </xf>
    <xf numFmtId="0" fontId="29" fillId="4" borderId="100" xfId="0" applyFont="1" applyFill="1" applyBorder="1" applyAlignment="1">
      <alignment/>
    </xf>
    <xf numFmtId="0" fontId="37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29" fillId="29" borderId="74" xfId="0" applyNumberFormat="1" applyFont="1" applyFill="1" applyBorder="1" applyAlignment="1">
      <alignment horizontal="center" vertical="center" wrapText="1"/>
    </xf>
    <xf numFmtId="3" fontId="29" fillId="29" borderId="19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 vertical="center" wrapText="1"/>
    </xf>
    <xf numFmtId="3" fontId="41" fillId="33" borderId="14" xfId="0" applyNumberFormat="1" applyFont="1" applyFill="1" applyBorder="1" applyAlignment="1">
      <alignment horizontal="center" vertical="center"/>
    </xf>
    <xf numFmtId="3" fontId="41" fillId="34" borderId="14" xfId="0" applyNumberFormat="1" applyFont="1" applyFill="1" applyBorder="1" applyAlignment="1">
      <alignment horizontal="center" vertical="center" wrapText="1"/>
    </xf>
    <xf numFmtId="3" fontId="41" fillId="33" borderId="14" xfId="0" applyNumberFormat="1" applyFont="1" applyFill="1" applyBorder="1" applyAlignment="1">
      <alignment horizontal="center" vertical="center" wrapText="1"/>
    </xf>
    <xf numFmtId="3" fontId="44" fillId="33" borderId="14" xfId="0" applyNumberFormat="1" applyFont="1" applyFill="1" applyBorder="1" applyAlignment="1">
      <alignment horizontal="center" vertical="center" wrapText="1"/>
    </xf>
    <xf numFmtId="3" fontId="41" fillId="29" borderId="13" xfId="0" applyNumberFormat="1" applyFont="1" applyFill="1" applyBorder="1" applyAlignment="1">
      <alignment horizontal="center" vertical="center"/>
    </xf>
    <xf numFmtId="3" fontId="44" fillId="29" borderId="13" xfId="0" applyNumberFormat="1" applyFont="1" applyFill="1" applyBorder="1" applyAlignment="1">
      <alignment horizontal="center" vertical="center"/>
    </xf>
    <xf numFmtId="3" fontId="41" fillId="26" borderId="13" xfId="0" applyNumberFormat="1" applyFont="1" applyFill="1" applyBorder="1" applyAlignment="1">
      <alignment horizontal="center" vertical="center" wrapText="1"/>
    </xf>
    <xf numFmtId="3" fontId="41" fillId="29" borderId="13" xfId="0" applyNumberFormat="1" applyFont="1" applyFill="1" applyBorder="1" applyAlignment="1">
      <alignment horizontal="center" vertical="center" wrapText="1"/>
    </xf>
    <xf numFmtId="3" fontId="29" fillId="29" borderId="13" xfId="0" applyNumberFormat="1" applyFont="1" applyFill="1" applyBorder="1" applyAlignment="1">
      <alignment horizontal="center" vertical="center"/>
    </xf>
    <xf numFmtId="4" fontId="41" fillId="29" borderId="13" xfId="0" applyNumberFormat="1" applyFont="1" applyFill="1" applyBorder="1" applyAlignment="1">
      <alignment horizontal="center" vertical="center" wrapText="1"/>
    </xf>
    <xf numFmtId="165" fontId="41" fillId="29" borderId="13" xfId="0" applyNumberFormat="1" applyFont="1" applyFill="1" applyBorder="1" applyAlignment="1">
      <alignment horizontal="center" vertical="center" wrapText="1"/>
    </xf>
    <xf numFmtId="3" fontId="44" fillId="29" borderId="1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50" fillId="0" borderId="101" xfId="0" applyNumberFormat="1" applyFont="1" applyBorder="1" applyAlignment="1">
      <alignment horizontal="center" vertical="center"/>
    </xf>
    <xf numFmtId="3" fontId="50" fillId="0" borderId="55" xfId="0" applyNumberFormat="1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3" fontId="29" fillId="0" borderId="54" xfId="0" applyNumberFormat="1" applyFont="1" applyFill="1" applyBorder="1" applyAlignment="1">
      <alignment horizontal="center" vertical="center" wrapText="1"/>
    </xf>
    <xf numFmtId="3" fontId="50" fillId="0" borderId="102" xfId="0" applyNumberFormat="1" applyFont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 wrapText="1"/>
    </xf>
    <xf numFmtId="3" fontId="29" fillId="0" borderId="103" xfId="0" applyNumberFormat="1" applyFont="1" applyFill="1" applyBorder="1" applyAlignment="1">
      <alignment horizontal="center" vertical="center" wrapText="1"/>
    </xf>
    <xf numFmtId="3" fontId="50" fillId="0" borderId="104" xfId="0" applyNumberFormat="1" applyFont="1" applyBorder="1" applyAlignment="1">
      <alignment horizontal="center" vertical="center"/>
    </xf>
    <xf numFmtId="0" fontId="37" fillId="0" borderId="105" xfId="0" applyFont="1" applyBorder="1" applyAlignment="1">
      <alignment vertical="center" wrapText="1"/>
    </xf>
    <xf numFmtId="3" fontId="29" fillId="0" borderId="89" xfId="0" applyNumberFormat="1" applyFont="1" applyFill="1" applyBorder="1" applyAlignment="1">
      <alignment horizontal="center" vertical="center" wrapText="1"/>
    </xf>
    <xf numFmtId="3" fontId="50" fillId="0" borderId="89" xfId="0" applyNumberFormat="1" applyFont="1" applyFill="1" applyBorder="1" applyAlignment="1">
      <alignment horizontal="center" vertical="center" wrapText="1"/>
    </xf>
    <xf numFmtId="3" fontId="50" fillId="0" borderId="106" xfId="0" applyNumberFormat="1" applyFont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/>
    </xf>
    <xf numFmtId="0" fontId="56" fillId="0" borderId="56" xfId="0" applyFont="1" applyBorder="1" applyAlignment="1">
      <alignment horizontal="left" vertical="center" wrapText="1"/>
    </xf>
    <xf numFmtId="0" fontId="53" fillId="30" borderId="109" xfId="0" applyFont="1" applyFill="1" applyBorder="1" applyAlignment="1">
      <alignment horizontal="center" vertical="center"/>
    </xf>
    <xf numFmtId="0" fontId="53" fillId="30" borderId="88" xfId="0" applyFont="1" applyFill="1" applyBorder="1" applyAlignment="1">
      <alignment horizontal="left" vertical="center" wrapText="1"/>
    </xf>
    <xf numFmtId="0" fontId="53" fillId="30" borderId="89" xfId="0" applyFont="1" applyFill="1" applyBorder="1" applyAlignment="1">
      <alignment horizontal="center" vertical="center" wrapText="1"/>
    </xf>
    <xf numFmtId="3" fontId="55" fillId="35" borderId="19" xfId="0" applyNumberFormat="1" applyFont="1" applyFill="1" applyBorder="1" applyAlignment="1">
      <alignment horizontal="center" vertical="center" wrapText="1"/>
    </xf>
    <xf numFmtId="3" fontId="50" fillId="0" borderId="43" xfId="0" applyNumberFormat="1" applyFont="1" applyFill="1" applyBorder="1" applyAlignment="1">
      <alignment horizontal="center" vertical="center" wrapText="1"/>
    </xf>
    <xf numFmtId="3" fontId="50" fillId="0" borderId="64" xfId="0" applyNumberFormat="1" applyFont="1" applyFill="1" applyBorder="1" applyAlignment="1">
      <alignment horizontal="center" vertical="center" wrapText="1"/>
    </xf>
    <xf numFmtId="0" fontId="50" fillId="0" borderId="1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3" fontId="50" fillId="0" borderId="111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3" fontId="29" fillId="0" borderId="112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Fill="1" applyBorder="1" applyAlignment="1">
      <alignment horizontal="center" vertical="center" wrapText="1"/>
    </xf>
    <xf numFmtId="0" fontId="50" fillId="0" borderId="114" xfId="0" applyFont="1" applyFill="1" applyBorder="1" applyAlignment="1">
      <alignment horizontal="center" vertical="center" wrapText="1"/>
    </xf>
    <xf numFmtId="0" fontId="50" fillId="0" borderId="92" xfId="0" applyFont="1" applyFill="1" applyBorder="1" applyAlignment="1">
      <alignment horizontal="center" vertical="center" wrapText="1"/>
    </xf>
    <xf numFmtId="3" fontId="56" fillId="30" borderId="115" xfId="0" applyNumberFormat="1" applyFont="1" applyFill="1" applyBorder="1" applyAlignment="1">
      <alignment horizontal="center" vertical="center" wrapText="1"/>
    </xf>
    <xf numFmtId="3" fontId="53" fillId="31" borderId="19" xfId="0" applyNumberFormat="1" applyFont="1" applyFill="1" applyBorder="1" applyAlignment="1">
      <alignment horizontal="center" vertical="center" wrapText="1"/>
    </xf>
    <xf numFmtId="3" fontId="50" fillId="0" borderId="92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43" xfId="0" applyNumberFormat="1" applyFont="1" applyFill="1" applyBorder="1" applyAlignment="1">
      <alignment horizontal="center" vertical="center" wrapText="1"/>
    </xf>
    <xf numFmtId="3" fontId="29" fillId="0" borderId="92" xfId="0" applyNumberFormat="1" applyFont="1" applyFill="1" applyBorder="1" applyAlignment="1">
      <alignment horizontal="center" vertical="center" wrapText="1"/>
    </xf>
    <xf numFmtId="3" fontId="50" fillId="0" borderId="116" xfId="0" applyNumberFormat="1" applyFont="1" applyFill="1" applyBorder="1" applyAlignment="1">
      <alignment horizontal="center" vertical="center" wrapText="1"/>
    </xf>
    <xf numFmtId="3" fontId="53" fillId="30" borderId="110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3" fontId="29" fillId="0" borderId="110" xfId="0" applyNumberFormat="1" applyFont="1" applyBorder="1" applyAlignment="1">
      <alignment horizontal="center" vertical="center" wrapText="1"/>
    </xf>
    <xf numFmtId="3" fontId="29" fillId="0" borderId="111" xfId="0" applyNumberFormat="1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3" fontId="29" fillId="0" borderId="92" xfId="0" applyNumberFormat="1" applyFont="1" applyBorder="1" applyAlignment="1">
      <alignment horizontal="center" vertical="center" wrapText="1"/>
    </xf>
    <xf numFmtId="3" fontId="51" fillId="37" borderId="87" xfId="0" applyNumberFormat="1" applyFont="1" applyFill="1" applyBorder="1" applyAlignment="1">
      <alignment horizontal="center" vertical="center"/>
    </xf>
    <xf numFmtId="3" fontId="50" fillId="0" borderId="110" xfId="0" applyNumberFormat="1" applyFont="1" applyFill="1" applyBorder="1" applyAlignment="1">
      <alignment horizontal="center" vertical="center" wrapText="1"/>
    </xf>
    <xf numFmtId="3" fontId="50" fillId="0" borderId="87" xfId="0" applyNumberFormat="1" applyFont="1" applyFill="1" applyBorder="1" applyAlignment="1">
      <alignment horizontal="center" vertical="center" wrapText="1"/>
    </xf>
    <xf numFmtId="0" fontId="37" fillId="0" borderId="74" xfId="0" applyFont="1" applyBorder="1" applyAlignment="1">
      <alignment horizontal="left" vertical="center" wrapText="1"/>
    </xf>
    <xf numFmtId="0" fontId="37" fillId="0" borderId="83" xfId="0" applyFont="1" applyBorder="1" applyAlignment="1">
      <alignment vertical="center" wrapText="1"/>
    </xf>
    <xf numFmtId="0" fontId="29" fillId="0" borderId="74" xfId="0" applyFont="1" applyFill="1" applyBorder="1" applyAlignment="1">
      <alignment horizontal="left" vertical="center" wrapText="1"/>
    </xf>
    <xf numFmtId="0" fontId="40" fillId="0" borderId="55" xfId="0" applyFont="1" applyBorder="1" applyAlignment="1">
      <alignment horizontal="center" vertical="center" wrapText="1"/>
    </xf>
    <xf numFmtId="3" fontId="40" fillId="0" borderId="55" xfId="0" applyNumberFormat="1" applyFont="1" applyBorder="1" applyAlignment="1">
      <alignment horizontal="center" vertical="center" wrapText="1"/>
    </xf>
    <xf numFmtId="3" fontId="40" fillId="0" borderId="110" xfId="0" applyNumberFormat="1" applyFont="1" applyBorder="1" applyAlignment="1">
      <alignment horizontal="center" vertical="center" wrapText="1"/>
    </xf>
    <xf numFmtId="3" fontId="40" fillId="0" borderId="87" xfId="0" applyNumberFormat="1" applyFont="1" applyBorder="1" applyAlignment="1">
      <alignment horizontal="center" vertical="center" wrapText="1"/>
    </xf>
    <xf numFmtId="3" fontId="50" fillId="29" borderId="74" xfId="0" applyNumberFormat="1" applyFont="1" applyFill="1" applyBorder="1" applyAlignment="1">
      <alignment horizontal="center" vertical="center" wrapText="1"/>
    </xf>
    <xf numFmtId="0" fontId="51" fillId="0" borderId="103" xfId="0" applyFont="1" applyFill="1" applyBorder="1" applyAlignment="1">
      <alignment horizontal="right" vertical="center" wrapText="1"/>
    </xf>
    <xf numFmtId="0" fontId="37" fillId="0" borderId="53" xfId="0" applyFont="1" applyBorder="1" applyAlignment="1">
      <alignment vertical="center" wrapText="1"/>
    </xf>
    <xf numFmtId="0" fontId="53" fillId="35" borderId="6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117" xfId="0" applyFill="1" applyBorder="1" applyAlignment="1">
      <alignment/>
    </xf>
    <xf numFmtId="0" fontId="29" fillId="0" borderId="117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 vertical="center" wrapText="1"/>
    </xf>
    <xf numFmtId="3" fontId="29" fillId="0" borderId="117" xfId="0" applyNumberFormat="1" applyFont="1" applyFill="1" applyBorder="1" applyAlignment="1">
      <alignment horizontal="center" vertical="center" wrapText="1"/>
    </xf>
    <xf numFmtId="3" fontId="50" fillId="0" borderId="117" xfId="0" applyNumberFormat="1" applyFont="1" applyFill="1" applyBorder="1" applyAlignment="1">
      <alignment horizontal="center" vertical="center" wrapText="1"/>
    </xf>
    <xf numFmtId="0" fontId="50" fillId="0" borderId="117" xfId="0" applyFont="1" applyFill="1" applyBorder="1" applyAlignment="1">
      <alignment horizontal="center" vertical="center" wrapText="1"/>
    </xf>
    <xf numFmtId="3" fontId="50" fillId="0" borderId="117" xfId="0" applyNumberFormat="1" applyFont="1" applyBorder="1" applyAlignment="1">
      <alignment horizontal="center" vertical="center"/>
    </xf>
    <xf numFmtId="0" fontId="53" fillId="35" borderId="96" xfId="0" applyFont="1" applyFill="1" applyBorder="1" applyAlignment="1">
      <alignment horizontal="center" vertical="center"/>
    </xf>
    <xf numFmtId="2" fontId="55" fillId="35" borderId="97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7" borderId="51" xfId="0" applyFill="1" applyBorder="1" applyAlignment="1">
      <alignment/>
    </xf>
    <xf numFmtId="0" fontId="0" fillId="27" borderId="52" xfId="0" applyFill="1" applyBorder="1" applyAlignment="1">
      <alignment/>
    </xf>
    <xf numFmtId="0" fontId="0" fillId="0" borderId="5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69" xfId="0" applyBorder="1" applyAlignment="1">
      <alignment vertical="center"/>
    </xf>
    <xf numFmtId="164" fontId="19" fillId="0" borderId="118" xfId="0" applyNumberFormat="1" applyFont="1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119" xfId="0" applyBorder="1" applyAlignment="1">
      <alignment horizontal="center" vertical="top" wrapText="1"/>
    </xf>
    <xf numFmtId="0" fontId="57" fillId="4" borderId="60" xfId="0" applyFont="1" applyFill="1" applyBorder="1" applyAlignment="1">
      <alignment horizontal="center" vertical="center" wrapText="1"/>
    </xf>
    <xf numFmtId="0" fontId="57" fillId="4" borderId="120" xfId="0" applyFont="1" applyFill="1" applyBorder="1" applyAlignment="1">
      <alignment horizontal="center" vertical="center" wrapText="1"/>
    </xf>
    <xf numFmtId="0" fontId="57" fillId="4" borderId="113" xfId="0" applyFont="1" applyFill="1" applyBorder="1" applyAlignment="1">
      <alignment horizontal="center" vertical="center" wrapText="1"/>
    </xf>
    <xf numFmtId="0" fontId="57" fillId="4" borderId="99" xfId="0" applyFont="1" applyFill="1" applyBorder="1" applyAlignment="1">
      <alignment horizontal="center" vertical="center" wrapText="1"/>
    </xf>
    <xf numFmtId="0" fontId="41" fillId="22" borderId="55" xfId="0" applyFont="1" applyFill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left" vertical="center" wrapText="1"/>
    </xf>
    <xf numFmtId="0" fontId="41" fillId="22" borderId="122" xfId="0" applyFont="1" applyFill="1" applyBorder="1" applyAlignment="1">
      <alignment horizontal="center" vertical="center" wrapText="1"/>
    </xf>
    <xf numFmtId="0" fontId="44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41" fillId="22" borderId="28" xfId="0" applyFont="1" applyFill="1" applyBorder="1" applyAlignment="1">
      <alignment horizontal="center" vertical="center"/>
    </xf>
    <xf numFmtId="0" fontId="41" fillId="22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1" fillId="25" borderId="64" xfId="0" applyFont="1" applyFill="1" applyBorder="1" applyAlignment="1">
      <alignment horizontal="center" vertical="center" wrapText="1"/>
    </xf>
    <xf numFmtId="0" fontId="41" fillId="25" borderId="110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textRotation="90"/>
    </xf>
    <xf numFmtId="0" fontId="41" fillId="22" borderId="13" xfId="0" applyFont="1" applyFill="1" applyBorder="1" applyAlignment="1">
      <alignment horizontal="left" vertical="center" wrapText="1"/>
    </xf>
    <xf numFmtId="0" fontId="41" fillId="22" borderId="22" xfId="0" applyFont="1" applyFill="1" applyBorder="1" applyAlignment="1">
      <alignment horizontal="left" vertical="center" wrapText="1"/>
    </xf>
    <xf numFmtId="0" fontId="41" fillId="22" borderId="65" xfId="0" applyFont="1" applyFill="1" applyBorder="1" applyAlignment="1">
      <alignment horizontal="center" vertical="center"/>
    </xf>
    <xf numFmtId="0" fontId="41" fillId="22" borderId="123" xfId="0" applyFont="1" applyFill="1" applyBorder="1" applyAlignment="1">
      <alignment horizontal="center" vertical="center" wrapText="1"/>
    </xf>
    <xf numFmtId="0" fontId="41" fillId="22" borderId="124" xfId="0" applyFont="1" applyFill="1" applyBorder="1" applyAlignment="1">
      <alignment horizontal="center" vertical="center" wrapText="1"/>
    </xf>
    <xf numFmtId="0" fontId="41" fillId="22" borderId="1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59" xfId="0" applyFont="1" applyBorder="1" applyAlignment="1">
      <alignment vertical="center"/>
    </xf>
    <xf numFmtId="0" fontId="44" fillId="0" borderId="22" xfId="0" applyFont="1" applyBorder="1" applyAlignment="1">
      <alignment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59" xfId="0" applyFont="1" applyBorder="1" applyAlignment="1">
      <alignment horizontal="left" vertical="center"/>
    </xf>
    <xf numFmtId="0" fontId="41" fillId="34" borderId="14" xfId="0" applyFont="1" applyFill="1" applyBorder="1" applyAlignment="1">
      <alignment horizontal="center" vertical="center"/>
    </xf>
    <xf numFmtId="0" fontId="41" fillId="22" borderId="55" xfId="0" applyFont="1" applyFill="1" applyBorder="1" applyAlignment="1">
      <alignment horizontal="center" vertical="center"/>
    </xf>
    <xf numFmtId="0" fontId="41" fillId="22" borderId="65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44" fillId="0" borderId="128" xfId="0" applyFont="1" applyFill="1" applyBorder="1" applyAlignment="1">
      <alignment horizontal="center" vertical="center" textRotation="90" wrapText="1"/>
    </xf>
    <xf numFmtId="0" fontId="44" fillId="0" borderId="129" xfId="0" applyFont="1" applyFill="1" applyBorder="1" applyAlignment="1">
      <alignment horizontal="center" vertical="center" textRotation="90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/>
    </xf>
    <xf numFmtId="0" fontId="41" fillId="22" borderId="130" xfId="0" applyFont="1" applyFill="1" applyBorder="1" applyAlignment="1">
      <alignment horizontal="center" vertical="center" wrapText="1"/>
    </xf>
    <xf numFmtId="0" fontId="41" fillId="22" borderId="131" xfId="0" applyFont="1" applyFill="1" applyBorder="1" applyAlignment="1">
      <alignment horizontal="center" vertical="center" wrapText="1"/>
    </xf>
    <xf numFmtId="0" fontId="41" fillId="22" borderId="132" xfId="0" applyFont="1" applyFill="1" applyBorder="1" applyAlignment="1">
      <alignment horizontal="center" vertical="center" wrapText="1"/>
    </xf>
    <xf numFmtId="0" fontId="41" fillId="22" borderId="0" xfId="0" applyFont="1" applyFill="1" applyBorder="1" applyAlignment="1">
      <alignment horizontal="center" vertical="center" wrapText="1"/>
    </xf>
    <xf numFmtId="0" fontId="41" fillId="22" borderId="133" xfId="0" applyFont="1" applyFill="1" applyBorder="1" applyAlignment="1">
      <alignment horizontal="center" vertical="center" wrapText="1"/>
    </xf>
    <xf numFmtId="0" fontId="41" fillId="22" borderId="99" xfId="0" applyFont="1" applyFill="1" applyBorder="1" applyAlignment="1">
      <alignment horizontal="center" vertical="center" wrapText="1"/>
    </xf>
    <xf numFmtId="0" fontId="41" fillId="22" borderId="134" xfId="0" applyFont="1" applyFill="1" applyBorder="1" applyAlignment="1">
      <alignment horizontal="center" vertical="center"/>
    </xf>
    <xf numFmtId="0" fontId="41" fillId="22" borderId="26" xfId="0" applyFont="1" applyFill="1" applyBorder="1" applyAlignment="1">
      <alignment horizontal="center" vertical="center"/>
    </xf>
    <xf numFmtId="0" fontId="41" fillId="22" borderId="135" xfId="0" applyFont="1" applyFill="1" applyBorder="1" applyAlignment="1">
      <alignment horizontal="center" vertical="center"/>
    </xf>
    <xf numFmtId="0" fontId="41" fillId="25" borderId="28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0" fontId="41" fillId="25" borderId="136" xfId="0" applyFont="1" applyFill="1" applyBorder="1" applyAlignment="1">
      <alignment horizontal="center" vertical="center" wrapText="1"/>
    </xf>
    <xf numFmtId="0" fontId="41" fillId="25" borderId="137" xfId="0" applyFont="1" applyFill="1" applyBorder="1" applyAlignment="1">
      <alignment horizontal="center" vertical="center" wrapText="1"/>
    </xf>
    <xf numFmtId="0" fontId="41" fillId="25" borderId="28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25" borderId="134" xfId="0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 horizontal="center" vertical="center" wrapText="1"/>
    </xf>
    <xf numFmtId="0" fontId="41" fillId="22" borderId="12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center" vertical="center"/>
    </xf>
    <xf numFmtId="0" fontId="46" fillId="22" borderId="42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/>
    </xf>
    <xf numFmtId="0" fontId="57" fillId="4" borderId="120" xfId="0" applyFont="1" applyFill="1" applyBorder="1" applyAlignment="1">
      <alignment horizontal="center" vertical="center"/>
    </xf>
    <xf numFmtId="0" fontId="57" fillId="4" borderId="94" xfId="0" applyFont="1" applyFill="1" applyBorder="1" applyAlignment="1">
      <alignment horizontal="center" vertical="center"/>
    </xf>
    <xf numFmtId="0" fontId="40" fillId="38" borderId="112" xfId="0" applyFont="1" applyFill="1" applyBorder="1" applyAlignment="1">
      <alignment horizontal="center" vertical="center" wrapText="1"/>
    </xf>
    <xf numFmtId="0" fontId="40" fillId="38" borderId="18" xfId="0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58" fillId="38" borderId="103" xfId="0" applyFont="1" applyFill="1" applyBorder="1" applyAlignment="1">
      <alignment horizontal="center" vertical="center" wrapText="1"/>
    </xf>
    <xf numFmtId="0" fontId="40" fillId="38" borderId="15" xfId="0" applyFont="1" applyFill="1" applyBorder="1" applyAlignment="1">
      <alignment horizontal="center" vertical="center" wrapText="1"/>
    </xf>
    <xf numFmtId="0" fontId="0" fillId="31" borderId="103" xfId="0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3" fontId="50" fillId="0" borderId="19" xfId="0" applyNumberFormat="1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7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/>
    </xf>
    <xf numFmtId="0" fontId="36" fillId="0" borderId="75" xfId="0" applyFont="1" applyBorder="1" applyAlignment="1">
      <alignment vertical="center"/>
    </xf>
    <xf numFmtId="0" fontId="47" fillId="39" borderId="139" xfId="0" applyFont="1" applyFill="1" applyBorder="1" applyAlignment="1">
      <alignment horizontal="center" vertical="center"/>
    </xf>
    <xf numFmtId="0" fontId="47" fillId="39" borderId="140" xfId="0" applyFont="1" applyFill="1" applyBorder="1" applyAlignment="1">
      <alignment horizontal="center" vertical="center"/>
    </xf>
    <xf numFmtId="0" fontId="47" fillId="39" borderId="141" xfId="0" applyFont="1" applyFill="1" applyBorder="1" applyAlignment="1">
      <alignment horizontal="center" vertical="center"/>
    </xf>
    <xf numFmtId="0" fontId="47" fillId="39" borderId="142" xfId="0" applyFont="1" applyFill="1" applyBorder="1" applyAlignment="1">
      <alignment horizontal="center" vertical="center"/>
    </xf>
    <xf numFmtId="0" fontId="47" fillId="39" borderId="143" xfId="0" applyFont="1" applyFill="1" applyBorder="1" applyAlignment="1">
      <alignment horizontal="center" vertical="center"/>
    </xf>
    <xf numFmtId="0" fontId="47" fillId="39" borderId="135" xfId="0" applyFont="1" applyFill="1" applyBorder="1" applyAlignment="1">
      <alignment horizontal="center" vertical="center"/>
    </xf>
    <xf numFmtId="0" fontId="47" fillId="39" borderId="133" xfId="0" applyFont="1" applyFill="1" applyBorder="1" applyAlignment="1">
      <alignment horizontal="center" vertical="center"/>
    </xf>
    <xf numFmtId="0" fontId="47" fillId="39" borderId="144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 wrapText="1"/>
    </xf>
    <xf numFmtId="0" fontId="54" fillId="31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left" vertical="center" wrapText="1"/>
    </xf>
    <xf numFmtId="0" fontId="58" fillId="38" borderId="78" xfId="0" applyFont="1" applyFill="1" applyBorder="1" applyAlignment="1">
      <alignment horizontal="center" vertical="center"/>
    </xf>
    <xf numFmtId="0" fontId="58" fillId="38" borderId="71" xfId="0" applyFont="1" applyFill="1" applyBorder="1" applyAlignment="1">
      <alignment horizontal="center" vertical="center"/>
    </xf>
    <xf numFmtId="0" fontId="54" fillId="31" borderId="71" xfId="0" applyFont="1" applyFill="1" applyBorder="1" applyAlignment="1">
      <alignment horizontal="center" vertical="center"/>
    </xf>
    <xf numFmtId="0" fontId="27" fillId="31" borderId="80" xfId="0" applyFont="1" applyFill="1" applyBorder="1" applyAlignment="1">
      <alignment horizontal="center" vertical="center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4" fillId="31" borderId="15" xfId="0" applyFont="1" applyFill="1" applyBorder="1" applyAlignment="1">
      <alignment horizontal="center" vertical="center" wrapText="1"/>
    </xf>
    <xf numFmtId="0" fontId="27" fillId="31" borderId="103" xfId="0" applyFont="1" applyFill="1" applyBorder="1" applyAlignment="1">
      <alignment horizontal="center" vertical="center"/>
    </xf>
    <xf numFmtId="0" fontId="58" fillId="38" borderId="54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/>
    </xf>
    <xf numFmtId="0" fontId="54" fillId="31" borderId="15" xfId="0" applyFont="1" applyFill="1" applyBorder="1" applyAlignment="1">
      <alignment horizontal="center" vertical="center"/>
    </xf>
    <xf numFmtId="0" fontId="59" fillId="38" borderId="54" xfId="0" applyFont="1" applyFill="1" applyBorder="1" applyAlignment="1">
      <alignment horizontal="center" vertical="center" wrapText="1"/>
    </xf>
    <xf numFmtId="0" fontId="59" fillId="38" borderId="15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0" fillId="31" borderId="103" xfId="0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50" fillId="28" borderId="1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8" fillId="38" borderId="102" xfId="0" applyFont="1" applyFill="1" applyBorder="1" applyAlignment="1">
      <alignment horizontal="center" vertical="center" wrapText="1"/>
    </xf>
    <xf numFmtId="0" fontId="58" fillId="38" borderId="101" xfId="0" applyFont="1" applyFill="1" applyBorder="1" applyAlignment="1">
      <alignment horizontal="center" vertical="center" wrapText="1"/>
    </xf>
    <xf numFmtId="0" fontId="54" fillId="31" borderId="101" xfId="0" applyFont="1" applyFill="1" applyBorder="1" applyAlignment="1">
      <alignment horizontal="center" vertical="center" wrapText="1"/>
    </xf>
    <xf numFmtId="0" fontId="27" fillId="31" borderId="104" xfId="0" applyFont="1" applyFill="1" applyBorder="1" applyAlignment="1">
      <alignment horizontal="center" vertical="center" wrapText="1"/>
    </xf>
    <xf numFmtId="0" fontId="53" fillId="35" borderId="6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3" fontId="50" fillId="0" borderId="110" xfId="0" applyNumberFormat="1" applyFont="1" applyFill="1" applyBorder="1" applyAlignment="1">
      <alignment horizontal="center" vertical="center" wrapText="1"/>
    </xf>
    <xf numFmtId="0" fontId="24" fillId="0" borderId="14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63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5" t="s">
        <v>219</v>
      </c>
      <c r="B1" s="595"/>
      <c r="C1" s="595"/>
      <c r="D1" s="595"/>
      <c r="E1" s="595"/>
      <c r="F1" s="595"/>
      <c r="G1" s="595"/>
    </row>
    <row r="2" spans="1:11" ht="21.75" customHeight="1" thickBot="1">
      <c r="A2" s="284" t="s">
        <v>0</v>
      </c>
      <c r="B2" s="285"/>
      <c r="C2" s="286" t="s">
        <v>1</v>
      </c>
      <c r="D2" s="286" t="s">
        <v>2</v>
      </c>
      <c r="E2" s="287" t="s">
        <v>3</v>
      </c>
      <c r="F2" s="286" t="s">
        <v>4</v>
      </c>
      <c r="G2" s="288" t="s">
        <v>5</v>
      </c>
      <c r="H2" s="289" t="s">
        <v>213</v>
      </c>
      <c r="I2" s="290" t="s">
        <v>3</v>
      </c>
      <c r="J2" s="291" t="s">
        <v>215</v>
      </c>
      <c r="K2" s="291" t="s">
        <v>3</v>
      </c>
    </row>
    <row r="3" spans="1:11" ht="12.75">
      <c r="A3" s="292" t="s">
        <v>6</v>
      </c>
      <c r="B3" s="293">
        <v>90</v>
      </c>
      <c r="C3" s="294">
        <v>0</v>
      </c>
      <c r="D3" s="12">
        <v>0</v>
      </c>
      <c r="E3" s="13">
        <v>0</v>
      </c>
      <c r="F3" s="13">
        <v>0</v>
      </c>
      <c r="G3" s="203"/>
      <c r="H3" s="295">
        <v>2141585</v>
      </c>
      <c r="I3" s="296">
        <v>733601</v>
      </c>
      <c r="J3" s="297">
        <f>H3+'spł poż'!F8</f>
        <v>2191585</v>
      </c>
      <c r="K3" s="297">
        <f>I3+'spł poż'!G8</f>
        <v>907289</v>
      </c>
    </row>
    <row r="4" spans="1:11" ht="0.75" customHeight="1" thickBot="1">
      <c r="A4" s="298" t="s">
        <v>7</v>
      </c>
      <c r="B4" s="299">
        <v>90</v>
      </c>
      <c r="C4" s="300">
        <f>C3</f>
        <v>0</v>
      </c>
      <c r="D4" s="12">
        <v>0</v>
      </c>
      <c r="E4" s="163">
        <f>B4*C4*5.5%/360</f>
        <v>0</v>
      </c>
      <c r="F4" s="163">
        <v>0</v>
      </c>
      <c r="G4" s="204">
        <f>E3+E4</f>
        <v>0</v>
      </c>
      <c r="H4" s="301"/>
      <c r="I4" s="302"/>
      <c r="J4" s="303"/>
      <c r="K4" s="303"/>
    </row>
    <row r="5" spans="1:36" s="2" customFormat="1" ht="12.75">
      <c r="A5" s="304" t="s">
        <v>8</v>
      </c>
      <c r="B5" s="305">
        <v>90</v>
      </c>
      <c r="C5" s="167">
        <f>C4-D4</f>
        <v>0</v>
      </c>
      <c r="D5" s="167">
        <v>0</v>
      </c>
      <c r="E5" s="168">
        <f>B5*C5*5.5%/360</f>
        <v>0</v>
      </c>
      <c r="F5" s="168"/>
      <c r="G5" s="205"/>
      <c r="H5" s="228"/>
      <c r="I5" s="229"/>
      <c r="J5" s="220"/>
      <c r="K5" s="2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06" t="s">
        <v>9</v>
      </c>
      <c r="B6" s="307">
        <v>90</v>
      </c>
      <c r="C6" s="172">
        <f>C5-D5</f>
        <v>0</v>
      </c>
      <c r="D6" s="172">
        <v>0</v>
      </c>
      <c r="E6" s="173">
        <f>B6*C6*5.5%/360</f>
        <v>0</v>
      </c>
      <c r="F6" s="173"/>
      <c r="G6" s="206"/>
      <c r="H6" s="301"/>
      <c r="I6" s="302"/>
      <c r="J6" s="308"/>
      <c r="K6" s="308"/>
    </row>
    <row r="7" spans="1:11" ht="12.75">
      <c r="A7" s="306" t="s">
        <v>10</v>
      </c>
      <c r="B7" s="307">
        <v>90</v>
      </c>
      <c r="C7" s="172">
        <v>10000000</v>
      </c>
      <c r="D7" s="172">
        <v>0</v>
      </c>
      <c r="E7" s="173">
        <f>B7*C7*7%/360</f>
        <v>175000.00000000003</v>
      </c>
      <c r="F7" s="173"/>
      <c r="G7" s="206"/>
      <c r="H7" s="301"/>
      <c r="I7" s="302"/>
      <c r="J7" s="308"/>
      <c r="K7" s="308"/>
    </row>
    <row r="8" spans="1:11" ht="13.5" thickBot="1">
      <c r="A8" s="309" t="s">
        <v>11</v>
      </c>
      <c r="B8" s="310">
        <v>90</v>
      </c>
      <c r="C8" s="177">
        <v>10000000</v>
      </c>
      <c r="D8" s="177">
        <v>0</v>
      </c>
      <c r="E8" s="173">
        <f>B8*C8*7%/360</f>
        <v>175000.00000000003</v>
      </c>
      <c r="F8" s="178">
        <f>D6+D7+D8</f>
        <v>0</v>
      </c>
      <c r="G8" s="207">
        <f>SUM(E5:E8)</f>
        <v>350000.00000000006</v>
      </c>
      <c r="H8" s="311">
        <v>3485040</v>
      </c>
      <c r="I8" s="312">
        <v>697952</v>
      </c>
      <c r="J8" s="313">
        <f>H8+F8+'spł poż'!F8</f>
        <v>3535040</v>
      </c>
      <c r="K8" s="313">
        <f>I8+G8+'spł poż'!G8</f>
        <v>1221640</v>
      </c>
    </row>
    <row r="9" spans="1:11" ht="12.75">
      <c r="A9" s="304" t="s">
        <v>12</v>
      </c>
      <c r="B9" s="305">
        <v>90</v>
      </c>
      <c r="C9" s="167">
        <f>C8-D8</f>
        <v>10000000</v>
      </c>
      <c r="D9" s="167"/>
      <c r="E9" s="168">
        <f>B9*C9*0.07/360</f>
        <v>175000.00000000003</v>
      </c>
      <c r="F9" s="168"/>
      <c r="G9" s="205"/>
      <c r="H9" s="301"/>
      <c r="I9" s="302"/>
      <c r="J9" s="314">
        <f>H9+F9+'spł poż'!F9</f>
        <v>0</v>
      </c>
      <c r="K9" s="314">
        <f>I9+G9+'spł poż'!G9</f>
        <v>0</v>
      </c>
    </row>
    <row r="10" spans="1:11" ht="12.75">
      <c r="A10" s="306" t="s">
        <v>13</v>
      </c>
      <c r="B10" s="307">
        <v>90</v>
      </c>
      <c r="C10" s="172">
        <f aca="true" t="shared" si="0" ref="C10:C43">C9-D9</f>
        <v>10000000</v>
      </c>
      <c r="D10" s="172">
        <v>50000</v>
      </c>
      <c r="E10" s="173">
        <f aca="true" t="shared" si="1" ref="E10:E40">B10*C10*0.07/360</f>
        <v>175000.00000000003</v>
      </c>
      <c r="F10" s="173"/>
      <c r="G10" s="206"/>
      <c r="H10" s="301"/>
      <c r="I10" s="302"/>
      <c r="J10" s="315">
        <f>H10+F10+'spł poż'!F10</f>
        <v>0</v>
      </c>
      <c r="K10" s="315">
        <f>I10+G10+'spł poż'!G10</f>
        <v>0</v>
      </c>
    </row>
    <row r="11" spans="1:11" ht="12.75">
      <c r="A11" s="306" t="s">
        <v>14</v>
      </c>
      <c r="B11" s="307">
        <v>90</v>
      </c>
      <c r="C11" s="172">
        <f t="shared" si="0"/>
        <v>9950000</v>
      </c>
      <c r="D11" s="172"/>
      <c r="E11" s="173">
        <f t="shared" si="1"/>
        <v>174125.00000000003</v>
      </c>
      <c r="F11" s="173"/>
      <c r="G11" s="206"/>
      <c r="H11" s="301"/>
      <c r="I11" s="302"/>
      <c r="J11" s="315">
        <f>H11+F11+'spł poż'!F11</f>
        <v>0</v>
      </c>
      <c r="K11" s="315">
        <f>I11+G11+'spł poż'!G11</f>
        <v>0</v>
      </c>
    </row>
    <row r="12" spans="1:11" ht="13.5" thickBot="1">
      <c r="A12" s="309" t="s">
        <v>15</v>
      </c>
      <c r="B12" s="310">
        <v>90</v>
      </c>
      <c r="C12" s="177">
        <f t="shared" si="0"/>
        <v>9950000</v>
      </c>
      <c r="D12" s="177"/>
      <c r="E12" s="178">
        <f t="shared" si="1"/>
        <v>174125.00000000003</v>
      </c>
      <c r="F12" s="178">
        <f>SUM(D9:D12)</f>
        <v>50000</v>
      </c>
      <c r="G12" s="207">
        <f>SUM(E9:E12)</f>
        <v>698250.0000000001</v>
      </c>
      <c r="H12" s="311">
        <v>3616899</v>
      </c>
      <c r="I12" s="312">
        <v>575506</v>
      </c>
      <c r="J12" s="313">
        <f>H12+F12+'spł poż'!F12</f>
        <v>3716899</v>
      </c>
      <c r="K12" s="313">
        <f>I12+G12+'spł poż'!G12</f>
        <v>1443944</v>
      </c>
    </row>
    <row r="13" spans="1:11" ht="12.75">
      <c r="A13" s="304" t="s">
        <v>16</v>
      </c>
      <c r="B13" s="305">
        <v>90</v>
      </c>
      <c r="C13" s="167">
        <f t="shared" si="0"/>
        <v>9950000</v>
      </c>
      <c r="D13" s="167"/>
      <c r="E13" s="168">
        <f t="shared" si="1"/>
        <v>174125.00000000003</v>
      </c>
      <c r="F13" s="168"/>
      <c r="G13" s="205"/>
      <c r="H13" s="301"/>
      <c r="I13" s="302"/>
      <c r="J13" s="314">
        <f>H13+F13+'spł poż'!F13</f>
        <v>0</v>
      </c>
      <c r="K13" s="314">
        <f>I13+G13+'spł poż'!G13</f>
        <v>0</v>
      </c>
    </row>
    <row r="14" spans="1:11" ht="12.75">
      <c r="A14" s="306" t="s">
        <v>17</v>
      </c>
      <c r="B14" s="307">
        <v>90</v>
      </c>
      <c r="C14" s="172">
        <f t="shared" si="0"/>
        <v>9950000</v>
      </c>
      <c r="D14" s="172">
        <v>50000</v>
      </c>
      <c r="E14" s="173">
        <f t="shared" si="1"/>
        <v>174125.00000000003</v>
      </c>
      <c r="F14" s="173"/>
      <c r="G14" s="206"/>
      <c r="H14" s="301"/>
      <c r="I14" s="302"/>
      <c r="J14" s="315">
        <f>H14+F14+'spł poż'!F14</f>
        <v>0</v>
      </c>
      <c r="K14" s="315">
        <f>I14+G14+'spł poż'!G14</f>
        <v>0</v>
      </c>
    </row>
    <row r="15" spans="1:11" ht="12.75">
      <c r="A15" s="306" t="s">
        <v>18</v>
      </c>
      <c r="B15" s="307">
        <v>90</v>
      </c>
      <c r="C15" s="172">
        <f t="shared" si="0"/>
        <v>9900000</v>
      </c>
      <c r="D15" s="172"/>
      <c r="E15" s="173">
        <f t="shared" si="1"/>
        <v>173250.00000000003</v>
      </c>
      <c r="F15" s="173"/>
      <c r="G15" s="206"/>
      <c r="H15" s="301"/>
      <c r="I15" s="302"/>
      <c r="J15" s="315">
        <f>H15+F15+'spł poż'!F15</f>
        <v>0</v>
      </c>
      <c r="K15" s="315">
        <f>I15+G15+'spł poż'!G15</f>
        <v>0</v>
      </c>
    </row>
    <row r="16" spans="1:11" ht="13.5" thickBot="1">
      <c r="A16" s="309" t="s">
        <v>19</v>
      </c>
      <c r="B16" s="310">
        <v>90</v>
      </c>
      <c r="C16" s="177">
        <f t="shared" si="0"/>
        <v>9900000</v>
      </c>
      <c r="D16" s="177"/>
      <c r="E16" s="178">
        <f t="shared" si="1"/>
        <v>173250.00000000003</v>
      </c>
      <c r="F16" s="178">
        <f>SUM(D13:D16)</f>
        <v>50000</v>
      </c>
      <c r="G16" s="207">
        <f>SUM(E13:E16)</f>
        <v>694750.0000000001</v>
      </c>
      <c r="H16" s="311">
        <v>3456453</v>
      </c>
      <c r="I16" s="312">
        <v>349963</v>
      </c>
      <c r="J16" s="313">
        <f>H16+F16+'spł poż'!F16</f>
        <v>3556453</v>
      </c>
      <c r="K16" s="313">
        <f>I16+G16+'spł poż'!G16</f>
        <v>1211401</v>
      </c>
    </row>
    <row r="17" spans="1:11" ht="12.75">
      <c r="A17" s="304" t="s">
        <v>20</v>
      </c>
      <c r="B17" s="305">
        <v>90</v>
      </c>
      <c r="C17" s="167">
        <f t="shared" si="0"/>
        <v>9900000</v>
      </c>
      <c r="D17" s="167">
        <f>D16</f>
        <v>0</v>
      </c>
      <c r="E17" s="168">
        <f t="shared" si="1"/>
        <v>173250.00000000003</v>
      </c>
      <c r="F17" s="168"/>
      <c r="G17" s="205"/>
      <c r="H17" s="301"/>
      <c r="I17" s="302"/>
      <c r="J17" s="314">
        <f>H17+F17+'spł poż'!F17</f>
        <v>0</v>
      </c>
      <c r="K17" s="314">
        <f>I17+G17+'spł poż'!G17</f>
        <v>0</v>
      </c>
    </row>
    <row r="18" spans="1:11" ht="12.75">
      <c r="A18" s="306" t="s">
        <v>21</v>
      </c>
      <c r="B18" s="307">
        <v>90</v>
      </c>
      <c r="C18" s="172">
        <f t="shared" si="0"/>
        <v>9900000</v>
      </c>
      <c r="D18" s="172">
        <v>50000</v>
      </c>
      <c r="E18" s="173">
        <f t="shared" si="1"/>
        <v>173250.00000000003</v>
      </c>
      <c r="F18" s="173"/>
      <c r="G18" s="206"/>
      <c r="H18" s="301"/>
      <c r="I18" s="302"/>
      <c r="J18" s="315">
        <f>H18+F18+'spł poż'!F18</f>
        <v>0</v>
      </c>
      <c r="K18" s="315">
        <f>I18+G18+'spł poż'!G18</f>
        <v>0</v>
      </c>
    </row>
    <row r="19" spans="1:36" s="17" customFormat="1" ht="12.75">
      <c r="A19" s="316" t="s">
        <v>22</v>
      </c>
      <c r="B19" s="317">
        <v>90</v>
      </c>
      <c r="C19" s="172">
        <f t="shared" si="0"/>
        <v>9850000</v>
      </c>
      <c r="D19" s="172"/>
      <c r="E19" s="173">
        <f t="shared" si="1"/>
        <v>172375.00000000003</v>
      </c>
      <c r="F19" s="181"/>
      <c r="G19" s="208"/>
      <c r="H19" s="301"/>
      <c r="I19" s="302"/>
      <c r="J19" s="315">
        <f>H19+F19+'spł poż'!F19</f>
        <v>0</v>
      </c>
      <c r="K19" s="315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18" t="s">
        <v>23</v>
      </c>
      <c r="B20" s="319">
        <v>90</v>
      </c>
      <c r="C20" s="188">
        <f t="shared" si="0"/>
        <v>9850000</v>
      </c>
      <c r="D20" s="201"/>
      <c r="E20" s="189">
        <f t="shared" si="1"/>
        <v>172375.00000000003</v>
      </c>
      <c r="F20" s="190">
        <f>SUM(D17:D20)</f>
        <v>50000</v>
      </c>
      <c r="G20" s="211">
        <f>SUM(E17:E20)</f>
        <v>691250.0000000001</v>
      </c>
      <c r="H20" s="311">
        <v>2500000</v>
      </c>
      <c r="I20" s="312">
        <v>258568</v>
      </c>
      <c r="J20" s="320">
        <f>H20+F20+'spł poż'!F20</f>
        <v>2600000</v>
      </c>
      <c r="K20" s="320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04" t="s">
        <v>24</v>
      </c>
      <c r="B21" s="305">
        <v>90</v>
      </c>
      <c r="C21" s="167">
        <f t="shared" si="0"/>
        <v>9850000</v>
      </c>
      <c r="D21" s="197"/>
      <c r="E21" s="168">
        <f t="shared" si="1"/>
        <v>172375.00000000003</v>
      </c>
      <c r="F21" s="168"/>
      <c r="G21" s="205"/>
      <c r="H21" s="301"/>
      <c r="I21" s="302"/>
      <c r="J21" s="314">
        <f>H21+F21+'spł poż'!F21</f>
        <v>0</v>
      </c>
      <c r="K21" s="314">
        <f>I21+G21+'spł poż'!G21</f>
        <v>0</v>
      </c>
    </row>
    <row r="22" spans="1:11" ht="12.75">
      <c r="A22" s="306" t="s">
        <v>25</v>
      </c>
      <c r="B22" s="307">
        <v>90</v>
      </c>
      <c r="C22" s="172">
        <f t="shared" si="0"/>
        <v>9850000</v>
      </c>
      <c r="D22" s="198">
        <v>50000</v>
      </c>
      <c r="E22" s="173">
        <f t="shared" si="1"/>
        <v>172375.00000000003</v>
      </c>
      <c r="F22" s="173"/>
      <c r="G22" s="206"/>
      <c r="H22" s="301"/>
      <c r="I22" s="302"/>
      <c r="J22" s="315">
        <f>H22+F22+'spł poż'!F22</f>
        <v>0</v>
      </c>
      <c r="K22" s="315">
        <f>I22+G22+'spł poż'!G22</f>
        <v>0</v>
      </c>
    </row>
    <row r="23" spans="1:11" ht="12.75">
      <c r="A23" s="306" t="s">
        <v>26</v>
      </c>
      <c r="B23" s="307">
        <v>90</v>
      </c>
      <c r="C23" s="172">
        <f t="shared" si="0"/>
        <v>9800000</v>
      </c>
      <c r="D23" s="172"/>
      <c r="E23" s="173">
        <f t="shared" si="1"/>
        <v>171500.00000000003</v>
      </c>
      <c r="F23" s="173"/>
      <c r="G23" s="206"/>
      <c r="H23" s="301"/>
      <c r="I23" s="302"/>
      <c r="J23" s="315">
        <f>H23+F23+'spł poż'!F23</f>
        <v>0</v>
      </c>
      <c r="K23" s="315">
        <f>I23+G23+'spł poż'!G23</f>
        <v>0</v>
      </c>
    </row>
    <row r="24" spans="1:11" ht="13.5" thickBot="1">
      <c r="A24" s="309" t="s">
        <v>27</v>
      </c>
      <c r="B24" s="310">
        <v>90</v>
      </c>
      <c r="C24" s="177">
        <f t="shared" si="0"/>
        <v>9800000</v>
      </c>
      <c r="D24" s="177"/>
      <c r="E24" s="178">
        <f t="shared" si="1"/>
        <v>171500.00000000003</v>
      </c>
      <c r="F24" s="178">
        <f>SUM(D21:D24)</f>
        <v>50000</v>
      </c>
      <c r="G24" s="207">
        <f>SUM(E21:E24)</f>
        <v>687750.0000000001</v>
      </c>
      <c r="H24" s="311">
        <v>2500000</v>
      </c>
      <c r="I24" s="312">
        <v>171068</v>
      </c>
      <c r="J24" s="313">
        <f>H24+F24+'spł poż'!F24</f>
        <v>2600000</v>
      </c>
      <c r="K24" s="313">
        <f>I24+G24+'spł poż'!G24</f>
        <v>1018506.0000000001</v>
      </c>
    </row>
    <row r="25" spans="1:36" s="17" customFormat="1" ht="12.75">
      <c r="A25" s="321" t="s">
        <v>28</v>
      </c>
      <c r="B25" s="322">
        <v>90</v>
      </c>
      <c r="C25" s="167">
        <f t="shared" si="0"/>
        <v>9800000</v>
      </c>
      <c r="D25" s="197"/>
      <c r="E25" s="168">
        <f t="shared" si="1"/>
        <v>171500.00000000003</v>
      </c>
      <c r="F25" s="194"/>
      <c r="G25" s="210"/>
      <c r="H25" s="301"/>
      <c r="I25" s="302"/>
      <c r="J25" s="314">
        <f>H25+F25+'spł poż'!F25</f>
        <v>0</v>
      </c>
      <c r="K25" s="314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16" t="s">
        <v>29</v>
      </c>
      <c r="B26" s="317">
        <v>90</v>
      </c>
      <c r="C26" s="172">
        <f t="shared" si="0"/>
        <v>9800000</v>
      </c>
      <c r="D26" s="198">
        <v>100000</v>
      </c>
      <c r="E26" s="173">
        <f t="shared" si="1"/>
        <v>171500.00000000003</v>
      </c>
      <c r="F26" s="181"/>
      <c r="G26" s="208"/>
      <c r="H26" s="301"/>
      <c r="I26" s="302"/>
      <c r="J26" s="315">
        <f>H26+F26+'spł poż'!F26</f>
        <v>0</v>
      </c>
      <c r="K26" s="315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16" t="s">
        <v>30</v>
      </c>
      <c r="B27" s="317">
        <v>90</v>
      </c>
      <c r="C27" s="172">
        <f t="shared" si="0"/>
        <v>9700000</v>
      </c>
      <c r="D27" s="198"/>
      <c r="E27" s="173">
        <f t="shared" si="1"/>
        <v>169750.00000000003</v>
      </c>
      <c r="F27" s="181"/>
      <c r="G27" s="208"/>
      <c r="H27" s="301"/>
      <c r="I27" s="302"/>
      <c r="J27" s="315">
        <f>H27+F27+'spł poż'!F27</f>
        <v>0</v>
      </c>
      <c r="K27" s="315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23" t="s">
        <v>31</v>
      </c>
      <c r="B28" s="324">
        <v>90</v>
      </c>
      <c r="C28" s="177">
        <f t="shared" si="0"/>
        <v>9700000</v>
      </c>
      <c r="D28" s="199"/>
      <c r="E28" s="178">
        <f t="shared" si="1"/>
        <v>169750.00000000003</v>
      </c>
      <c r="F28" s="184">
        <f>SUM(D25:D28)</f>
        <v>100000</v>
      </c>
      <c r="G28" s="209">
        <f>SUM(E25:E28)</f>
        <v>682500.0000000001</v>
      </c>
      <c r="H28" s="311">
        <v>2376170</v>
      </c>
      <c r="I28" s="312">
        <v>83568</v>
      </c>
      <c r="J28" s="313">
        <f>H28+F28+'spł poż'!F28</f>
        <v>2501170</v>
      </c>
      <c r="K28" s="313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04" t="s">
        <v>32</v>
      </c>
      <c r="B29" s="305">
        <v>90</v>
      </c>
      <c r="C29" s="167">
        <f t="shared" si="0"/>
        <v>9700000</v>
      </c>
      <c r="D29" s="167"/>
      <c r="E29" s="168">
        <f t="shared" si="1"/>
        <v>169750.00000000003</v>
      </c>
      <c r="F29" s="168"/>
      <c r="G29" s="205"/>
      <c r="H29" s="301"/>
      <c r="I29" s="302"/>
      <c r="J29" s="314">
        <f>H29+F29+'spł poż'!F29</f>
        <v>0</v>
      </c>
      <c r="K29" s="314">
        <f>I29+G29+'spł poż'!G29</f>
        <v>0</v>
      </c>
    </row>
    <row r="30" spans="1:11" ht="12.75">
      <c r="A30" s="306" t="s">
        <v>33</v>
      </c>
      <c r="B30" s="307">
        <v>90</v>
      </c>
      <c r="C30" s="172">
        <f t="shared" si="0"/>
        <v>9700000</v>
      </c>
      <c r="D30" s="198">
        <v>1000000</v>
      </c>
      <c r="E30" s="173">
        <f t="shared" si="1"/>
        <v>169750.00000000003</v>
      </c>
      <c r="F30" s="173"/>
      <c r="G30" s="206"/>
      <c r="H30" s="301"/>
      <c r="I30" s="302"/>
      <c r="J30" s="315">
        <f>H30+F30+'spł poż'!F30</f>
        <v>0</v>
      </c>
      <c r="K30" s="315">
        <f>I30+G30+'spł poż'!G30</f>
        <v>0</v>
      </c>
    </row>
    <row r="31" spans="1:11" ht="12.75">
      <c r="A31" s="306" t="s">
        <v>34</v>
      </c>
      <c r="B31" s="307">
        <v>90</v>
      </c>
      <c r="C31" s="172">
        <f t="shared" si="0"/>
        <v>8700000</v>
      </c>
      <c r="D31" s="198"/>
      <c r="E31" s="173">
        <f t="shared" si="1"/>
        <v>152250.00000000003</v>
      </c>
      <c r="F31" s="173"/>
      <c r="G31" s="206"/>
      <c r="H31" s="301"/>
      <c r="I31" s="302"/>
      <c r="J31" s="315">
        <f>H31+F31+'spł poż'!F31</f>
        <v>0</v>
      </c>
      <c r="K31" s="315">
        <f>I31+G31+'spł poż'!G31</f>
        <v>0</v>
      </c>
    </row>
    <row r="32" spans="1:11" ht="13.5" thickBot="1">
      <c r="A32" s="325" t="s">
        <v>35</v>
      </c>
      <c r="B32" s="326">
        <v>90</v>
      </c>
      <c r="C32" s="188">
        <f t="shared" si="0"/>
        <v>8700000</v>
      </c>
      <c r="D32" s="201"/>
      <c r="E32" s="189">
        <f t="shared" si="1"/>
        <v>152250.00000000003</v>
      </c>
      <c r="F32" s="189">
        <f>SUM(D29:D32)</f>
        <v>1000000</v>
      </c>
      <c r="G32" s="327">
        <f>SUM(E29:E32)</f>
        <v>644000.0000000001</v>
      </c>
      <c r="H32" s="311">
        <v>11500</v>
      </c>
      <c r="I32" s="302">
        <v>403</v>
      </c>
      <c r="J32" s="320">
        <f>H32+F32+'spł poż'!F32</f>
        <v>1062028</v>
      </c>
      <c r="K32" s="320">
        <f>I32+G32+'spł poż'!G32</f>
        <v>770831.2600000001</v>
      </c>
    </row>
    <row r="33" spans="1:36" s="17" customFormat="1" ht="12.75">
      <c r="A33" s="321" t="s">
        <v>36</v>
      </c>
      <c r="B33" s="322">
        <v>90</v>
      </c>
      <c r="C33" s="167">
        <f t="shared" si="0"/>
        <v>8700000</v>
      </c>
      <c r="D33" s="197"/>
      <c r="E33" s="168">
        <f t="shared" si="1"/>
        <v>152250.00000000003</v>
      </c>
      <c r="F33" s="194"/>
      <c r="G33" s="210"/>
      <c r="H33" s="301"/>
      <c r="I33" s="302"/>
      <c r="J33" s="314">
        <f>H33+F33+'spł poż'!F33</f>
        <v>0</v>
      </c>
      <c r="K33" s="314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16" t="s">
        <v>37</v>
      </c>
      <c r="B34" s="317">
        <v>90</v>
      </c>
      <c r="C34" s="172">
        <f t="shared" si="0"/>
        <v>8700000</v>
      </c>
      <c r="D34" s="198">
        <v>500000</v>
      </c>
      <c r="E34" s="173">
        <f t="shared" si="1"/>
        <v>152250.00000000003</v>
      </c>
      <c r="F34" s="181"/>
      <c r="G34" s="208"/>
      <c r="H34" s="301"/>
      <c r="I34" s="302"/>
      <c r="J34" s="315">
        <f>H34+F34+'spł poż'!F34</f>
        <v>0</v>
      </c>
      <c r="K34" s="315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16" t="s">
        <v>38</v>
      </c>
      <c r="B35" s="317">
        <v>90</v>
      </c>
      <c r="C35" s="172">
        <f t="shared" si="0"/>
        <v>8200000</v>
      </c>
      <c r="D35" s="198"/>
      <c r="E35" s="173">
        <f t="shared" si="1"/>
        <v>143500.00000000003</v>
      </c>
      <c r="F35" s="181"/>
      <c r="G35" s="208"/>
      <c r="H35" s="301"/>
      <c r="I35" s="302"/>
      <c r="J35" s="315">
        <f>H35+F35+'spł poż'!F35</f>
        <v>0</v>
      </c>
      <c r="K35" s="315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23" t="s">
        <v>39</v>
      </c>
      <c r="B36" s="324">
        <v>90</v>
      </c>
      <c r="C36" s="177">
        <f t="shared" si="0"/>
        <v>8200000</v>
      </c>
      <c r="D36" s="199"/>
      <c r="E36" s="178">
        <f t="shared" si="1"/>
        <v>143500.00000000003</v>
      </c>
      <c r="F36" s="184">
        <f>SUM(D33:D36)</f>
        <v>500000</v>
      </c>
      <c r="G36" s="209">
        <f>SUM(E33:E36)</f>
        <v>591500.0000000001</v>
      </c>
      <c r="H36" s="301"/>
      <c r="I36" s="302"/>
      <c r="J36" s="313">
        <f>H36+F36+'spł poż'!F36</f>
        <v>1250523</v>
      </c>
      <c r="K36" s="313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04" t="s">
        <v>40</v>
      </c>
      <c r="B37" s="305">
        <v>90</v>
      </c>
      <c r="C37" s="167">
        <f t="shared" si="0"/>
        <v>8200000</v>
      </c>
      <c r="D37" s="167">
        <f>D36</f>
        <v>0</v>
      </c>
      <c r="E37" s="168">
        <f t="shared" si="1"/>
        <v>143500.00000000003</v>
      </c>
      <c r="F37" s="168"/>
      <c r="G37" s="205"/>
      <c r="H37" s="301"/>
      <c r="I37" s="302"/>
      <c r="J37" s="314">
        <f>H37+F37+'spł poż'!F37</f>
        <v>0</v>
      </c>
      <c r="K37" s="314">
        <f>I37+G37+'spł poż'!G37</f>
        <v>0</v>
      </c>
    </row>
    <row r="38" spans="1:11" ht="12.75">
      <c r="A38" s="306" t="s">
        <v>41</v>
      </c>
      <c r="B38" s="307">
        <v>90</v>
      </c>
      <c r="C38" s="172">
        <f t="shared" si="0"/>
        <v>8200000</v>
      </c>
      <c r="D38" s="172">
        <v>500000</v>
      </c>
      <c r="E38" s="173">
        <f t="shared" si="1"/>
        <v>143500.00000000003</v>
      </c>
      <c r="F38" s="173"/>
      <c r="G38" s="206"/>
      <c r="H38" s="301"/>
      <c r="I38" s="302"/>
      <c r="J38" s="315">
        <f>H38+F38+'spł poż'!F38</f>
        <v>0</v>
      </c>
      <c r="K38" s="315">
        <f>I38+G38+'spł poż'!G38</f>
        <v>0</v>
      </c>
    </row>
    <row r="39" spans="1:11" ht="12.75">
      <c r="A39" s="306" t="s">
        <v>42</v>
      </c>
      <c r="B39" s="307">
        <v>90</v>
      </c>
      <c r="C39" s="172">
        <f t="shared" si="0"/>
        <v>7700000</v>
      </c>
      <c r="D39" s="172"/>
      <c r="E39" s="173">
        <f t="shared" si="1"/>
        <v>134750.00000000003</v>
      </c>
      <c r="F39" s="173"/>
      <c r="G39" s="206"/>
      <c r="H39" s="301"/>
      <c r="I39" s="302"/>
      <c r="J39" s="315">
        <f>H39+F39+'spł poż'!F39</f>
        <v>0</v>
      </c>
      <c r="K39" s="315">
        <f>I39+G39+'spł poż'!G39</f>
        <v>0</v>
      </c>
    </row>
    <row r="40" spans="1:11" ht="13.5" thickBot="1">
      <c r="A40" s="309" t="s">
        <v>43</v>
      </c>
      <c r="B40" s="310">
        <v>90</v>
      </c>
      <c r="C40" s="177">
        <f t="shared" si="0"/>
        <v>7700000</v>
      </c>
      <c r="D40" s="177"/>
      <c r="E40" s="178">
        <f t="shared" si="1"/>
        <v>134750.00000000003</v>
      </c>
      <c r="F40" s="178">
        <f>SUM(D37:D40)</f>
        <v>500000</v>
      </c>
      <c r="G40" s="207">
        <f>SUM(E37:E40)</f>
        <v>556500.0000000001</v>
      </c>
      <c r="H40" s="301"/>
      <c r="I40" s="302"/>
      <c r="J40" s="313">
        <f>H40+F40+'spł poż'!F40</f>
        <v>1100000</v>
      </c>
      <c r="K40" s="313">
        <f>I40+G40+'spł poż'!G40</f>
        <v>612426.4300000002</v>
      </c>
    </row>
    <row r="41" spans="1:11" ht="12.75">
      <c r="A41" s="304" t="s">
        <v>44</v>
      </c>
      <c r="B41" s="305">
        <v>90</v>
      </c>
      <c r="C41" s="167">
        <f t="shared" si="0"/>
        <v>7700000</v>
      </c>
      <c r="D41" s="167"/>
      <c r="E41" s="168">
        <f aca="true" t="shared" si="2" ref="E41:E48">B41*C41*0.07/360</f>
        <v>134750.00000000003</v>
      </c>
      <c r="F41" s="168"/>
      <c r="G41" s="205"/>
      <c r="H41" s="301"/>
      <c r="I41" s="302"/>
      <c r="J41" s="314">
        <f>H41+F41+'spł poż'!F41</f>
        <v>0</v>
      </c>
      <c r="K41" s="314">
        <f>I41+G41+'spł poż'!G41</f>
        <v>0</v>
      </c>
    </row>
    <row r="42" spans="1:11" ht="12.75">
      <c r="A42" s="306" t="s">
        <v>45</v>
      </c>
      <c r="B42" s="307">
        <v>90</v>
      </c>
      <c r="C42" s="172">
        <f t="shared" si="0"/>
        <v>7700000</v>
      </c>
      <c r="D42" s="172">
        <v>600000</v>
      </c>
      <c r="E42" s="173">
        <f t="shared" si="2"/>
        <v>134750.00000000003</v>
      </c>
      <c r="F42" s="173"/>
      <c r="G42" s="206"/>
      <c r="H42" s="301"/>
      <c r="I42" s="302"/>
      <c r="J42" s="315">
        <f>H42+F42+'spł poż'!F42</f>
        <v>0</v>
      </c>
      <c r="K42" s="315">
        <f>I42+G42+'spł poż'!G42</f>
        <v>0</v>
      </c>
    </row>
    <row r="43" spans="1:11" ht="12.75">
      <c r="A43" s="306" t="s">
        <v>46</v>
      </c>
      <c r="B43" s="307">
        <v>90</v>
      </c>
      <c r="C43" s="172">
        <f t="shared" si="0"/>
        <v>7100000</v>
      </c>
      <c r="D43" s="172">
        <v>600000</v>
      </c>
      <c r="E43" s="173">
        <f t="shared" si="2"/>
        <v>124250.00000000001</v>
      </c>
      <c r="F43" s="173"/>
      <c r="G43" s="206"/>
      <c r="H43" s="301"/>
      <c r="I43" s="302"/>
      <c r="J43" s="315">
        <f>H43+F43+'spł poż'!F43</f>
        <v>0</v>
      </c>
      <c r="K43" s="315">
        <f>I43+G43+'spł poż'!G43</f>
        <v>0</v>
      </c>
    </row>
    <row r="44" spans="1:11" ht="13.5" thickBot="1">
      <c r="A44" s="309" t="s">
        <v>47</v>
      </c>
      <c r="B44" s="310">
        <v>90</v>
      </c>
      <c r="C44" s="177">
        <f>C43-D43</f>
        <v>6500000</v>
      </c>
      <c r="D44" s="177"/>
      <c r="E44" s="178">
        <f t="shared" si="2"/>
        <v>113750.00000000001</v>
      </c>
      <c r="F44" s="178">
        <f>SUM(D41:D44)</f>
        <v>1200000</v>
      </c>
      <c r="G44" s="207">
        <f>SUM(E41:E44)</f>
        <v>507500.00000000006</v>
      </c>
      <c r="H44" s="328"/>
      <c r="I44" s="329"/>
      <c r="J44" s="313">
        <f>H44+F44+'spł poż'!F44</f>
        <v>1623949</v>
      </c>
      <c r="K44" s="313">
        <f>I44+G44+'spł poż'!G44</f>
        <v>526257.3225</v>
      </c>
    </row>
    <row r="45" spans="1:11" ht="12.75">
      <c r="A45" s="304" t="s">
        <v>320</v>
      </c>
      <c r="B45" s="305">
        <v>90</v>
      </c>
      <c r="C45" s="167">
        <f>C44-D44</f>
        <v>6500000</v>
      </c>
      <c r="D45" s="167">
        <v>3500000</v>
      </c>
      <c r="E45" s="168">
        <f t="shared" si="2"/>
        <v>113750.00000000001</v>
      </c>
      <c r="F45" s="168"/>
      <c r="G45" s="205"/>
      <c r="H45" s="301"/>
      <c r="I45" s="302"/>
      <c r="J45" s="314">
        <f>H45+F45+'spł poż'!F45</f>
        <v>2100000</v>
      </c>
      <c r="K45" s="314">
        <f>I45+G45+'spł poż'!G45</f>
        <v>0</v>
      </c>
    </row>
    <row r="46" spans="1:11" ht="12.75">
      <c r="A46" s="306" t="s">
        <v>321</v>
      </c>
      <c r="B46" s="307">
        <v>90</v>
      </c>
      <c r="C46" s="172">
        <f>C45-D45</f>
        <v>3000000</v>
      </c>
      <c r="D46" s="172"/>
      <c r="E46" s="173">
        <f t="shared" si="2"/>
        <v>52500</v>
      </c>
      <c r="F46" s="173"/>
      <c r="G46" s="206"/>
      <c r="H46" s="301"/>
      <c r="I46" s="302"/>
      <c r="J46" s="315">
        <f>H46+F46+'spł poż'!F46</f>
        <v>0</v>
      </c>
      <c r="K46" s="315">
        <f>I46+G46+'spł poż'!G46</f>
        <v>0</v>
      </c>
    </row>
    <row r="47" spans="1:11" ht="12.75">
      <c r="A47" s="306" t="s">
        <v>322</v>
      </c>
      <c r="B47" s="307">
        <v>90</v>
      </c>
      <c r="C47" s="172">
        <f>C46-D46</f>
        <v>3000000</v>
      </c>
      <c r="D47" s="172">
        <v>3000000</v>
      </c>
      <c r="E47" s="173">
        <f t="shared" si="2"/>
        <v>52500</v>
      </c>
      <c r="F47" s="173"/>
      <c r="G47" s="206"/>
      <c r="H47" s="301"/>
      <c r="I47" s="302"/>
      <c r="J47" s="315">
        <f>H47+F47+'spł poż'!F47</f>
        <v>0</v>
      </c>
      <c r="K47" s="315">
        <f>I47+G47+'spł poż'!G47</f>
        <v>0</v>
      </c>
    </row>
    <row r="48" spans="1:11" ht="13.5" thickBot="1">
      <c r="A48" s="309" t="s">
        <v>323</v>
      </c>
      <c r="B48" s="310">
        <v>90</v>
      </c>
      <c r="C48" s="177">
        <f>C47-D47</f>
        <v>0</v>
      </c>
      <c r="D48" s="177"/>
      <c r="E48" s="178">
        <f t="shared" si="2"/>
        <v>0</v>
      </c>
      <c r="F48" s="178">
        <f>SUM(D45:D48)</f>
        <v>6500000</v>
      </c>
      <c r="G48" s="207">
        <f>SUM(E45:E48)</f>
        <v>218750</v>
      </c>
      <c r="H48" s="328"/>
      <c r="I48" s="329"/>
      <c r="J48" s="313">
        <f>H48+F48+'spł poż'!F48</f>
        <v>6500000</v>
      </c>
      <c r="K48" s="313">
        <f>I48+G48+'spł poż'!G48</f>
        <v>218750</v>
      </c>
    </row>
    <row r="49" spans="1:11" ht="12.75">
      <c r="A49" s="330"/>
      <c r="B49" s="331"/>
      <c r="C49" s="330"/>
      <c r="D49" s="332">
        <f>SUM(D9:D48)</f>
        <v>10000000</v>
      </c>
      <c r="F49" s="332">
        <f>SUM(F9:F48)</f>
        <v>10000000</v>
      </c>
      <c r="G49" s="332">
        <f>SUM(G9:G48)</f>
        <v>5972750.000000001</v>
      </c>
      <c r="H49" s="333"/>
      <c r="I49" s="333"/>
      <c r="J49" s="332">
        <f>SUM(J9:J48)</f>
        <v>28611022</v>
      </c>
      <c r="K49" s="334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96" t="s">
        <v>211</v>
      </c>
      <c r="B1" s="596"/>
      <c r="C1" s="596"/>
      <c r="D1" s="596"/>
      <c r="E1" s="596"/>
      <c r="F1" s="596"/>
      <c r="G1" s="596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63">
        <f>B4*C4*5.5%/360</f>
        <v>28875</v>
      </c>
      <c r="F4" s="163">
        <v>0</v>
      </c>
      <c r="G4" s="163">
        <f>E3+E4</f>
        <v>28875</v>
      </c>
    </row>
    <row r="5" spans="1:7" s="2" customFormat="1" ht="15">
      <c r="A5" s="164" t="s">
        <v>8</v>
      </c>
      <c r="B5" s="165">
        <v>90</v>
      </c>
      <c r="C5" s="166">
        <f aca="true" t="shared" si="0" ref="C5:C39">C4-D4</f>
        <v>2100000</v>
      </c>
      <c r="D5" s="167">
        <v>12500</v>
      </c>
      <c r="E5" s="168">
        <f>B5*C5*0.07/360</f>
        <v>36750.00000000001</v>
      </c>
      <c r="F5" s="168"/>
      <c r="G5" s="168"/>
    </row>
    <row r="6" spans="1:8" ht="15">
      <c r="A6" s="169" t="s">
        <v>9</v>
      </c>
      <c r="B6" s="170">
        <v>90</v>
      </c>
      <c r="C6" s="171">
        <f t="shared" si="0"/>
        <v>2087500</v>
      </c>
      <c r="D6" s="172">
        <v>12500</v>
      </c>
      <c r="E6" s="173">
        <f>B6*C6*0.07/360</f>
        <v>36531.25000000001</v>
      </c>
      <c r="F6" s="173"/>
      <c r="G6" s="173"/>
      <c r="H6" s="14">
        <f>SUM(D5:D8)</f>
        <v>50000</v>
      </c>
    </row>
    <row r="7" spans="1:7" ht="15">
      <c r="A7" s="169" t="s">
        <v>10</v>
      </c>
      <c r="B7" s="170">
        <v>90</v>
      </c>
      <c r="C7" s="171">
        <f t="shared" si="0"/>
        <v>2075000</v>
      </c>
      <c r="D7" s="172">
        <f aca="true" t="shared" si="1" ref="D7:D25">D6</f>
        <v>12500</v>
      </c>
      <c r="E7" s="173">
        <f aca="true" t="shared" si="2" ref="E7:E40">B7*C7*0.07/360</f>
        <v>36312.50000000001</v>
      </c>
      <c r="F7" s="173"/>
      <c r="G7" s="173"/>
    </row>
    <row r="8" spans="1:7" ht="15.75" thickBot="1">
      <c r="A8" s="174" t="s">
        <v>11</v>
      </c>
      <c r="B8" s="175">
        <v>90</v>
      </c>
      <c r="C8" s="176">
        <f t="shared" si="0"/>
        <v>2062500</v>
      </c>
      <c r="D8" s="177">
        <f t="shared" si="1"/>
        <v>12500</v>
      </c>
      <c r="E8" s="178">
        <f>B8*C8*0.07/360</f>
        <v>36093.75000000001</v>
      </c>
      <c r="F8" s="178">
        <v>50000</v>
      </c>
      <c r="G8" s="178">
        <v>173688</v>
      </c>
    </row>
    <row r="9" spans="1:7" ht="15">
      <c r="A9" s="164" t="s">
        <v>12</v>
      </c>
      <c r="B9" s="165">
        <v>90</v>
      </c>
      <c r="C9" s="166">
        <f t="shared" si="0"/>
        <v>2050000</v>
      </c>
      <c r="D9" s="167">
        <f t="shared" si="1"/>
        <v>12500</v>
      </c>
      <c r="E9" s="168">
        <f t="shared" si="2"/>
        <v>35875.00000000001</v>
      </c>
      <c r="F9" s="168"/>
      <c r="G9" s="168"/>
    </row>
    <row r="10" spans="1:8" ht="15">
      <c r="A10" s="169" t="s">
        <v>13</v>
      </c>
      <c r="B10" s="170">
        <v>90</v>
      </c>
      <c r="C10" s="171">
        <f t="shared" si="0"/>
        <v>2037500</v>
      </c>
      <c r="D10" s="172">
        <f t="shared" si="1"/>
        <v>12500</v>
      </c>
      <c r="E10" s="173">
        <f t="shared" si="2"/>
        <v>35656.25000000001</v>
      </c>
      <c r="F10" s="173"/>
      <c r="G10" s="173"/>
      <c r="H10" s="14">
        <v>50000</v>
      </c>
    </row>
    <row r="11" spans="1:7" ht="15">
      <c r="A11" s="169" t="s">
        <v>14</v>
      </c>
      <c r="B11" s="170">
        <v>90</v>
      </c>
      <c r="C11" s="171">
        <f t="shared" si="0"/>
        <v>2025000</v>
      </c>
      <c r="D11" s="172">
        <f t="shared" si="1"/>
        <v>12500</v>
      </c>
      <c r="E11" s="173">
        <f t="shared" si="2"/>
        <v>35437.50000000001</v>
      </c>
      <c r="F11" s="173"/>
      <c r="G11" s="173"/>
    </row>
    <row r="12" spans="1:7" ht="15.75" thickBot="1">
      <c r="A12" s="174" t="s">
        <v>15</v>
      </c>
      <c r="B12" s="175">
        <v>90</v>
      </c>
      <c r="C12" s="176">
        <f t="shared" si="0"/>
        <v>2012500</v>
      </c>
      <c r="D12" s="177">
        <f t="shared" si="1"/>
        <v>12500</v>
      </c>
      <c r="E12" s="178">
        <f t="shared" si="2"/>
        <v>35218.75000000001</v>
      </c>
      <c r="F12" s="178">
        <f>SUM(D9:D12)</f>
        <v>50000</v>
      </c>
      <c r="G12" s="178">
        <v>170188</v>
      </c>
    </row>
    <row r="13" spans="1:7" ht="15">
      <c r="A13" s="164" t="s">
        <v>16</v>
      </c>
      <c r="B13" s="165">
        <v>90</v>
      </c>
      <c r="C13" s="166">
        <f t="shared" si="0"/>
        <v>2000000</v>
      </c>
      <c r="D13" s="167">
        <f t="shared" si="1"/>
        <v>12500</v>
      </c>
      <c r="E13" s="168">
        <f t="shared" si="2"/>
        <v>35000.00000000001</v>
      </c>
      <c r="F13" s="168"/>
      <c r="G13" s="168"/>
    </row>
    <row r="14" spans="1:8" ht="15">
      <c r="A14" s="169" t="s">
        <v>17</v>
      </c>
      <c r="B14" s="170">
        <v>90</v>
      </c>
      <c r="C14" s="171">
        <f t="shared" si="0"/>
        <v>1987500</v>
      </c>
      <c r="D14" s="172">
        <f t="shared" si="1"/>
        <v>12500</v>
      </c>
      <c r="E14" s="173">
        <f t="shared" si="2"/>
        <v>34781.25000000001</v>
      </c>
      <c r="F14" s="173"/>
      <c r="G14" s="173"/>
      <c r="H14" s="14">
        <v>50000</v>
      </c>
    </row>
    <row r="15" spans="1:7" ht="15">
      <c r="A15" s="169" t="s">
        <v>18</v>
      </c>
      <c r="B15" s="170">
        <v>90</v>
      </c>
      <c r="C15" s="171">
        <f t="shared" si="0"/>
        <v>1975000</v>
      </c>
      <c r="D15" s="172">
        <f t="shared" si="1"/>
        <v>12500</v>
      </c>
      <c r="E15" s="173">
        <f t="shared" si="2"/>
        <v>34562.50000000001</v>
      </c>
      <c r="F15" s="173"/>
      <c r="G15" s="173"/>
    </row>
    <row r="16" spans="1:7" ht="15.75" thickBot="1">
      <c r="A16" s="174" t="s">
        <v>19</v>
      </c>
      <c r="B16" s="175">
        <v>90</v>
      </c>
      <c r="C16" s="176">
        <f t="shared" si="0"/>
        <v>1962500</v>
      </c>
      <c r="D16" s="177">
        <f t="shared" si="1"/>
        <v>12500</v>
      </c>
      <c r="E16" s="178">
        <f>B16*C16*0.07/360</f>
        <v>34343.75000000001</v>
      </c>
      <c r="F16" s="178">
        <f>SUM(D13:D16)</f>
        <v>50000</v>
      </c>
      <c r="G16" s="178">
        <v>166688</v>
      </c>
    </row>
    <row r="17" spans="1:7" ht="15">
      <c r="A17" s="164" t="s">
        <v>20</v>
      </c>
      <c r="B17" s="165">
        <v>90</v>
      </c>
      <c r="C17" s="166">
        <f t="shared" si="0"/>
        <v>1950000</v>
      </c>
      <c r="D17" s="167">
        <f t="shared" si="1"/>
        <v>12500</v>
      </c>
      <c r="E17" s="168">
        <f t="shared" si="2"/>
        <v>34125.00000000001</v>
      </c>
      <c r="F17" s="168"/>
      <c r="G17" s="168"/>
    </row>
    <row r="18" spans="1:8" ht="15">
      <c r="A18" s="169" t="s">
        <v>21</v>
      </c>
      <c r="B18" s="170">
        <v>90</v>
      </c>
      <c r="C18" s="171">
        <f t="shared" si="0"/>
        <v>1937500</v>
      </c>
      <c r="D18" s="172">
        <f t="shared" si="1"/>
        <v>12500</v>
      </c>
      <c r="E18" s="173">
        <f t="shared" si="2"/>
        <v>33906.25000000001</v>
      </c>
      <c r="F18" s="173"/>
      <c r="G18" s="173"/>
      <c r="H18" s="14">
        <v>50000</v>
      </c>
    </row>
    <row r="19" spans="1:8" s="17" customFormat="1" ht="15">
      <c r="A19" s="179" t="s">
        <v>22</v>
      </c>
      <c r="B19" s="180">
        <v>90</v>
      </c>
      <c r="C19" s="171">
        <f t="shared" si="0"/>
        <v>1925000</v>
      </c>
      <c r="D19" s="172">
        <f t="shared" si="1"/>
        <v>12500</v>
      </c>
      <c r="E19" s="173">
        <f t="shared" si="2"/>
        <v>33687.50000000001</v>
      </c>
      <c r="F19" s="181"/>
      <c r="G19" s="181"/>
      <c r="H19" s="16"/>
    </row>
    <row r="20" spans="1:7" s="17" customFormat="1" ht="15.75" thickBot="1">
      <c r="A20" s="185" t="s">
        <v>23</v>
      </c>
      <c r="B20" s="186">
        <v>90</v>
      </c>
      <c r="C20" s="187">
        <f t="shared" si="0"/>
        <v>1912500</v>
      </c>
      <c r="D20" s="188">
        <f t="shared" si="1"/>
        <v>12500</v>
      </c>
      <c r="E20" s="189">
        <f t="shared" si="2"/>
        <v>33468.75000000001</v>
      </c>
      <c r="F20" s="190">
        <f>SUM(D17:D20)</f>
        <v>50000</v>
      </c>
      <c r="G20" s="190">
        <v>163188</v>
      </c>
    </row>
    <row r="21" spans="1:7" ht="15">
      <c r="A21" s="164" t="s">
        <v>24</v>
      </c>
      <c r="B21" s="165">
        <v>90</v>
      </c>
      <c r="C21" s="166">
        <f t="shared" si="0"/>
        <v>1900000</v>
      </c>
      <c r="D21" s="167">
        <f t="shared" si="1"/>
        <v>12500</v>
      </c>
      <c r="E21" s="168">
        <f t="shared" si="2"/>
        <v>33250.00000000001</v>
      </c>
      <c r="F21" s="168"/>
      <c r="G21" s="168"/>
    </row>
    <row r="22" spans="1:8" ht="15">
      <c r="A22" s="169" t="s">
        <v>25</v>
      </c>
      <c r="B22" s="170">
        <v>90</v>
      </c>
      <c r="C22" s="171">
        <f t="shared" si="0"/>
        <v>1887500</v>
      </c>
      <c r="D22" s="172">
        <f t="shared" si="1"/>
        <v>12500</v>
      </c>
      <c r="E22" s="173">
        <f t="shared" si="2"/>
        <v>33031.25000000001</v>
      </c>
      <c r="F22" s="173"/>
      <c r="G22" s="173"/>
      <c r="H22" s="14">
        <v>50000</v>
      </c>
    </row>
    <row r="23" spans="1:7" ht="15">
      <c r="A23" s="169" t="s">
        <v>26</v>
      </c>
      <c r="B23" s="170">
        <v>90</v>
      </c>
      <c r="C23" s="171">
        <f t="shared" si="0"/>
        <v>1875000</v>
      </c>
      <c r="D23" s="172">
        <f t="shared" si="1"/>
        <v>12500</v>
      </c>
      <c r="E23" s="173">
        <f t="shared" si="2"/>
        <v>32812.50000000001</v>
      </c>
      <c r="F23" s="173"/>
      <c r="G23" s="173"/>
    </row>
    <row r="24" spans="1:7" ht="15.75" thickBot="1">
      <c r="A24" s="174" t="s">
        <v>27</v>
      </c>
      <c r="B24" s="175">
        <v>90</v>
      </c>
      <c r="C24" s="176">
        <f t="shared" si="0"/>
        <v>1862500</v>
      </c>
      <c r="D24" s="177">
        <f t="shared" si="1"/>
        <v>12500</v>
      </c>
      <c r="E24" s="178">
        <f t="shared" si="2"/>
        <v>32593.750000000004</v>
      </c>
      <c r="F24" s="178">
        <f>SUM(D21:D24)</f>
        <v>50000</v>
      </c>
      <c r="G24" s="178">
        <v>159688</v>
      </c>
    </row>
    <row r="25" spans="1:7" s="17" customFormat="1" ht="15">
      <c r="A25" s="191" t="s">
        <v>28</v>
      </c>
      <c r="B25" s="192">
        <v>90</v>
      </c>
      <c r="C25" s="193">
        <f t="shared" si="0"/>
        <v>1850000</v>
      </c>
      <c r="D25" s="167">
        <f t="shared" si="1"/>
        <v>12500</v>
      </c>
      <c r="E25" s="168">
        <f t="shared" si="2"/>
        <v>32375.000000000004</v>
      </c>
      <c r="F25" s="194"/>
      <c r="G25" s="194"/>
    </row>
    <row r="26" spans="1:8" s="17" customFormat="1" ht="15">
      <c r="A26" s="179" t="s">
        <v>29</v>
      </c>
      <c r="B26" s="180">
        <v>90</v>
      </c>
      <c r="C26" s="195">
        <f t="shared" si="0"/>
        <v>1837500</v>
      </c>
      <c r="D26" s="172"/>
      <c r="E26" s="173">
        <f t="shared" si="2"/>
        <v>32156.250000000004</v>
      </c>
      <c r="F26" s="181"/>
      <c r="G26" s="181"/>
      <c r="H26" s="18">
        <f>SUM(D25:D28)</f>
        <v>25000</v>
      </c>
    </row>
    <row r="27" spans="1:7" s="17" customFormat="1" ht="15">
      <c r="A27" s="179" t="s">
        <v>30</v>
      </c>
      <c r="B27" s="180">
        <v>90</v>
      </c>
      <c r="C27" s="195">
        <f t="shared" si="0"/>
        <v>1837500</v>
      </c>
      <c r="D27" s="172">
        <v>12500</v>
      </c>
      <c r="E27" s="173">
        <f t="shared" si="2"/>
        <v>32156.250000000004</v>
      </c>
      <c r="F27" s="181"/>
      <c r="G27" s="181"/>
    </row>
    <row r="28" spans="1:7" s="17" customFormat="1" ht="15.75" thickBot="1">
      <c r="A28" s="182" t="s">
        <v>31</v>
      </c>
      <c r="B28" s="183">
        <v>90</v>
      </c>
      <c r="C28" s="196">
        <f t="shared" si="0"/>
        <v>1825000</v>
      </c>
      <c r="D28" s="177"/>
      <c r="E28" s="178">
        <f t="shared" si="2"/>
        <v>31937.500000000004</v>
      </c>
      <c r="F28" s="184">
        <f>SUM(D25:D28)</f>
        <v>25000</v>
      </c>
      <c r="G28" s="184">
        <f>SUM(E25:E28)</f>
        <v>128625.00000000001</v>
      </c>
    </row>
    <row r="29" spans="1:8" ht="15">
      <c r="A29" s="164" t="s">
        <v>32</v>
      </c>
      <c r="B29" s="165">
        <v>90</v>
      </c>
      <c r="C29" s="166">
        <f t="shared" si="0"/>
        <v>1825000</v>
      </c>
      <c r="D29" s="167">
        <v>12500</v>
      </c>
      <c r="E29" s="168">
        <f t="shared" si="2"/>
        <v>31937.500000000004</v>
      </c>
      <c r="F29" s="168"/>
      <c r="G29" s="168"/>
      <c r="H29" s="162">
        <f>C29/12</f>
        <v>152083.33333333334</v>
      </c>
    </row>
    <row r="30" spans="1:8" ht="15">
      <c r="A30" s="169" t="s">
        <v>33</v>
      </c>
      <c r="B30" s="170">
        <v>90</v>
      </c>
      <c r="C30" s="171">
        <f t="shared" si="0"/>
        <v>1812500</v>
      </c>
      <c r="D30" s="172">
        <v>12500</v>
      </c>
      <c r="E30" s="173">
        <f t="shared" si="2"/>
        <v>31718.750000000004</v>
      </c>
      <c r="F30" s="173"/>
      <c r="G30" s="173"/>
      <c r="H30" s="14">
        <f>SUM(D29:D32)</f>
        <v>50528</v>
      </c>
    </row>
    <row r="31" spans="1:7" ht="15">
      <c r="A31" s="169" t="s">
        <v>34</v>
      </c>
      <c r="B31" s="170">
        <v>90</v>
      </c>
      <c r="C31" s="171">
        <f t="shared" si="0"/>
        <v>1800000</v>
      </c>
      <c r="D31" s="172">
        <v>13028</v>
      </c>
      <c r="E31" s="173">
        <f t="shared" si="2"/>
        <v>31500.000000000004</v>
      </c>
      <c r="F31" s="173"/>
      <c r="G31" s="173"/>
    </row>
    <row r="32" spans="1:7" ht="15.75" thickBot="1">
      <c r="A32" s="174" t="s">
        <v>35</v>
      </c>
      <c r="B32" s="175">
        <v>90</v>
      </c>
      <c r="C32" s="176">
        <f t="shared" si="0"/>
        <v>1786972</v>
      </c>
      <c r="D32" s="177">
        <v>12500</v>
      </c>
      <c r="E32" s="178">
        <f t="shared" si="2"/>
        <v>31272.010000000006</v>
      </c>
      <c r="F32" s="178">
        <f>SUM(D29:D32)</f>
        <v>50528</v>
      </c>
      <c r="G32" s="178">
        <f>SUM(E29:E32)</f>
        <v>126428.26000000002</v>
      </c>
    </row>
    <row r="33" spans="1:7" s="17" customFormat="1" ht="15">
      <c r="A33" s="191" t="s">
        <v>36</v>
      </c>
      <c r="B33" s="192">
        <v>90</v>
      </c>
      <c r="C33" s="193">
        <f t="shared" si="0"/>
        <v>1774472</v>
      </c>
      <c r="D33" s="197">
        <v>150000</v>
      </c>
      <c r="E33" s="194">
        <f t="shared" si="2"/>
        <v>31053.260000000006</v>
      </c>
      <c r="F33" s="194"/>
      <c r="G33" s="194"/>
    </row>
    <row r="34" spans="1:8" s="17" customFormat="1" ht="15">
      <c r="A34" s="179" t="s">
        <v>37</v>
      </c>
      <c r="B34" s="180">
        <v>90</v>
      </c>
      <c r="C34" s="195">
        <f t="shared" si="0"/>
        <v>1624472</v>
      </c>
      <c r="D34" s="198">
        <f>D33</f>
        <v>150000</v>
      </c>
      <c r="E34" s="181">
        <f t="shared" si="2"/>
        <v>28428.260000000006</v>
      </c>
      <c r="F34" s="181"/>
      <c r="G34" s="181"/>
      <c r="H34" s="18">
        <f>SUM(D33:D36)</f>
        <v>750523</v>
      </c>
    </row>
    <row r="35" spans="1:7" s="17" customFormat="1" ht="15">
      <c r="A35" s="179" t="s">
        <v>38</v>
      </c>
      <c r="B35" s="180">
        <v>90</v>
      </c>
      <c r="C35" s="195">
        <f t="shared" si="0"/>
        <v>1474472</v>
      </c>
      <c r="D35" s="198">
        <v>225000</v>
      </c>
      <c r="E35" s="181">
        <f t="shared" si="2"/>
        <v>25803.260000000006</v>
      </c>
      <c r="F35" s="181"/>
      <c r="G35" s="181"/>
    </row>
    <row r="36" spans="1:7" s="17" customFormat="1" ht="15.75" thickBot="1">
      <c r="A36" s="185" t="s">
        <v>39</v>
      </c>
      <c r="B36" s="186">
        <v>90</v>
      </c>
      <c r="C36" s="200">
        <f t="shared" si="0"/>
        <v>1249472</v>
      </c>
      <c r="D36" s="201">
        <v>225523</v>
      </c>
      <c r="E36" s="190">
        <f t="shared" si="2"/>
        <v>21865.760000000002</v>
      </c>
      <c r="F36" s="190">
        <f>SUM(D33:D36)</f>
        <v>750523</v>
      </c>
      <c r="G36" s="190">
        <f>SUM(E33:E36)</f>
        <v>107150.54000000001</v>
      </c>
    </row>
    <row r="37" spans="1:7" ht="15">
      <c r="A37" s="164" t="s">
        <v>40</v>
      </c>
      <c r="B37" s="165">
        <v>90</v>
      </c>
      <c r="C37" s="166">
        <f t="shared" si="0"/>
        <v>1023949</v>
      </c>
      <c r="D37" s="197">
        <v>150000</v>
      </c>
      <c r="E37" s="168">
        <f>B37*C37*0.07/360</f>
        <v>17919.107500000002</v>
      </c>
      <c r="F37" s="168"/>
      <c r="G37" s="168"/>
    </row>
    <row r="38" spans="1:8" ht="15">
      <c r="A38" s="169" t="s">
        <v>41</v>
      </c>
      <c r="B38" s="170">
        <v>90</v>
      </c>
      <c r="C38" s="171">
        <f t="shared" si="0"/>
        <v>873949</v>
      </c>
      <c r="D38" s="198">
        <v>150000</v>
      </c>
      <c r="E38" s="173">
        <f t="shared" si="2"/>
        <v>15294.1075</v>
      </c>
      <c r="F38" s="173"/>
      <c r="G38" s="173"/>
      <c r="H38" s="14">
        <f>SUM(D37:D40)</f>
        <v>600000</v>
      </c>
    </row>
    <row r="39" spans="1:7" ht="15">
      <c r="A39" s="169" t="s">
        <v>42</v>
      </c>
      <c r="B39" s="170">
        <v>90</v>
      </c>
      <c r="C39" s="171">
        <f t="shared" si="0"/>
        <v>723949</v>
      </c>
      <c r="D39" s="198">
        <v>150000</v>
      </c>
      <c r="E39" s="173">
        <f t="shared" si="2"/>
        <v>12669.1075</v>
      </c>
      <c r="F39" s="173"/>
      <c r="G39" s="173"/>
    </row>
    <row r="40" spans="1:7" ht="15.75" thickBot="1">
      <c r="A40" s="174" t="s">
        <v>43</v>
      </c>
      <c r="B40" s="175">
        <v>90</v>
      </c>
      <c r="C40" s="176">
        <f>C39-D39</f>
        <v>573949</v>
      </c>
      <c r="D40" s="199">
        <f>D39</f>
        <v>150000</v>
      </c>
      <c r="E40" s="178">
        <f t="shared" si="2"/>
        <v>10044.1075</v>
      </c>
      <c r="F40" s="178">
        <f>SUM(D37:D40)</f>
        <v>600000</v>
      </c>
      <c r="G40" s="178">
        <f>SUM(E37:E40)</f>
        <v>55926.43</v>
      </c>
    </row>
    <row r="41" spans="1:7" ht="15">
      <c r="A41" s="164" t="s">
        <v>44</v>
      </c>
      <c r="B41" s="165">
        <v>90</v>
      </c>
      <c r="C41" s="166">
        <f>C40-D40</f>
        <v>423949</v>
      </c>
      <c r="D41" s="197">
        <v>100000</v>
      </c>
      <c r="E41" s="168">
        <f>B41*C41*0.07/360</f>
        <v>7419.1075</v>
      </c>
      <c r="F41" s="168"/>
      <c r="G41" s="168"/>
    </row>
    <row r="42" spans="1:8" ht="15">
      <c r="A42" s="169" t="s">
        <v>45</v>
      </c>
      <c r="B42" s="170">
        <v>90</v>
      </c>
      <c r="C42" s="171">
        <f>C41-D41</f>
        <v>323949</v>
      </c>
      <c r="D42" s="198">
        <v>100000</v>
      </c>
      <c r="E42" s="173">
        <f>B42*C42*0.07/360</f>
        <v>5669.1075</v>
      </c>
      <c r="F42" s="173"/>
      <c r="G42" s="173"/>
      <c r="H42" s="14">
        <f>SUM(D41:D44)</f>
        <v>423949</v>
      </c>
    </row>
    <row r="43" spans="1:7" ht="15">
      <c r="A43" s="169" t="s">
        <v>46</v>
      </c>
      <c r="B43" s="170">
        <v>90</v>
      </c>
      <c r="C43" s="171">
        <f>C42-D42</f>
        <v>223949</v>
      </c>
      <c r="D43" s="198">
        <v>123949</v>
      </c>
      <c r="E43" s="173">
        <f>B43*C43*0.07/360</f>
        <v>3919.1075000000005</v>
      </c>
      <c r="F43" s="173"/>
      <c r="G43" s="173"/>
    </row>
    <row r="44" spans="1:7" ht="15.75" thickBot="1">
      <c r="A44" s="174" t="s">
        <v>47</v>
      </c>
      <c r="B44" s="175">
        <v>90</v>
      </c>
      <c r="C44" s="176">
        <f>C43-D43</f>
        <v>100000</v>
      </c>
      <c r="D44" s="199">
        <v>100000</v>
      </c>
      <c r="E44" s="178">
        <f>B44*C44*0.07/360</f>
        <v>1750.0000000000002</v>
      </c>
      <c r="F44" s="178">
        <f>SUM(D41:D44)</f>
        <v>423949</v>
      </c>
      <c r="G44" s="178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3">
      <selection activeCell="D39" sqref="D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96" t="s">
        <v>212</v>
      </c>
      <c r="B1" s="596"/>
      <c r="C1" s="596"/>
      <c r="D1" s="596"/>
      <c r="E1" s="596"/>
      <c r="F1" s="596"/>
      <c r="G1" s="603"/>
      <c r="H1" s="599" t="s">
        <v>217</v>
      </c>
      <c r="I1" s="601" t="s">
        <v>216</v>
      </c>
      <c r="J1" s="597" t="s">
        <v>214</v>
      </c>
      <c r="K1" s="598"/>
    </row>
    <row r="2" spans="1:11" ht="24" customHeight="1" thickBot="1">
      <c r="A2" s="604"/>
      <c r="B2" s="604"/>
      <c r="C2" s="604"/>
      <c r="D2" s="604"/>
      <c r="E2" s="604"/>
      <c r="F2" s="604"/>
      <c r="G2" s="605"/>
      <c r="H2" s="600"/>
      <c r="I2" s="602"/>
      <c r="J2" s="222" t="s">
        <v>218</v>
      </c>
      <c r="K2" s="223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02" t="s">
        <v>5</v>
      </c>
      <c r="H3" s="212"/>
      <c r="I3" s="212"/>
      <c r="J3" s="224"/>
      <c r="K3" s="224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03"/>
      <c r="H4" s="213">
        <v>2000000</v>
      </c>
      <c r="I4" s="213">
        <v>1265000</v>
      </c>
      <c r="J4" s="219">
        <f>H4+F4</f>
        <v>2000000</v>
      </c>
      <c r="K4" s="219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63">
        <f>B5*C5*5.5%/360</f>
        <v>158125</v>
      </c>
      <c r="F5" s="163">
        <v>0</v>
      </c>
      <c r="G5" s="204">
        <f>E4+E5</f>
        <v>158125</v>
      </c>
      <c r="H5" s="212"/>
      <c r="I5" s="212"/>
      <c r="J5" s="224"/>
      <c r="K5" s="224"/>
    </row>
    <row r="6" spans="1:11" s="2" customFormat="1" ht="15">
      <c r="A6" s="164" t="s">
        <v>8</v>
      </c>
      <c r="B6" s="165">
        <v>90</v>
      </c>
      <c r="C6" s="166">
        <v>18400000</v>
      </c>
      <c r="D6" s="167"/>
      <c r="E6" s="168">
        <f>B6*C6*0.07/360</f>
        <v>322000.00000000006</v>
      </c>
      <c r="F6" s="168"/>
      <c r="G6" s="205"/>
      <c r="H6" s="214"/>
      <c r="I6" s="214"/>
      <c r="J6" s="225"/>
      <c r="K6" s="225"/>
    </row>
    <row r="7" spans="1:11" ht="15">
      <c r="A7" s="169" t="s">
        <v>9</v>
      </c>
      <c r="B7" s="170">
        <v>90</v>
      </c>
      <c r="C7" s="171">
        <f aca="true" t="shared" si="0" ref="C7:C40">C6-D6</f>
        <v>18400000</v>
      </c>
      <c r="D7" s="172"/>
      <c r="E7" s="173">
        <f>B7*C7*0.07/360</f>
        <v>322000.00000000006</v>
      </c>
      <c r="F7" s="173"/>
      <c r="G7" s="206"/>
      <c r="H7" s="213">
        <f>SUM(D6:D9)</f>
        <v>0</v>
      </c>
      <c r="I7" s="212"/>
      <c r="J7" s="224"/>
      <c r="K7" s="224"/>
    </row>
    <row r="8" spans="1:11" ht="15">
      <c r="A8" s="169" t="s">
        <v>10</v>
      </c>
      <c r="B8" s="170">
        <v>90</v>
      </c>
      <c r="C8" s="171">
        <f t="shared" si="0"/>
        <v>18400000</v>
      </c>
      <c r="D8" s="172"/>
      <c r="E8" s="173">
        <f aca="true" t="shared" si="1" ref="E8:E41">B8*C8*0.07/360</f>
        <v>322000.00000000006</v>
      </c>
      <c r="F8" s="173"/>
      <c r="G8" s="206"/>
      <c r="H8" s="212"/>
      <c r="I8" s="212"/>
      <c r="J8" s="224"/>
      <c r="K8" s="224"/>
    </row>
    <row r="9" spans="1:11" ht="15.75" thickBot="1">
      <c r="A9" s="174" t="s">
        <v>11</v>
      </c>
      <c r="B9" s="175">
        <v>90</v>
      </c>
      <c r="C9" s="176">
        <v>18400000</v>
      </c>
      <c r="D9" s="177"/>
      <c r="E9" s="178">
        <f t="shared" si="1"/>
        <v>322000.00000000006</v>
      </c>
      <c r="F9" s="178">
        <f>D7+D8+D9+D6</f>
        <v>0</v>
      </c>
      <c r="G9" s="207">
        <f>SUM(E6:E9)</f>
        <v>1288000.0000000002</v>
      </c>
      <c r="H9" s="213">
        <v>3000000</v>
      </c>
      <c r="I9" s="213">
        <v>1155000</v>
      </c>
      <c r="J9" s="219">
        <f>H9+F9</f>
        <v>3000000</v>
      </c>
      <c r="K9" s="219">
        <f>I9+G9</f>
        <v>2443000</v>
      </c>
    </row>
    <row r="10" spans="1:11" ht="15">
      <c r="A10" s="164" t="s">
        <v>12</v>
      </c>
      <c r="B10" s="165">
        <v>90</v>
      </c>
      <c r="C10" s="166">
        <f t="shared" si="0"/>
        <v>18400000</v>
      </c>
      <c r="D10" s="167"/>
      <c r="E10" s="168">
        <f t="shared" si="1"/>
        <v>322000.00000000006</v>
      </c>
      <c r="F10" s="168"/>
      <c r="G10" s="205"/>
      <c r="H10" s="212"/>
      <c r="I10" s="212"/>
      <c r="J10" s="219">
        <f aca="true" t="shared" si="2" ref="J10:J45">H10+F10</f>
        <v>0</v>
      </c>
      <c r="K10" s="219">
        <f aca="true" t="shared" si="3" ref="K10:K45">I10+G10</f>
        <v>0</v>
      </c>
    </row>
    <row r="11" spans="1:11" ht="15">
      <c r="A11" s="169" t="s">
        <v>13</v>
      </c>
      <c r="B11" s="170">
        <v>90</v>
      </c>
      <c r="C11" s="171">
        <f t="shared" si="0"/>
        <v>18400000</v>
      </c>
      <c r="D11" s="172"/>
      <c r="E11" s="173">
        <f t="shared" si="1"/>
        <v>322000.00000000006</v>
      </c>
      <c r="F11" s="173"/>
      <c r="G11" s="206"/>
      <c r="H11" s="213"/>
      <c r="I11" s="212"/>
      <c r="J11" s="219">
        <f t="shared" si="2"/>
        <v>0</v>
      </c>
      <c r="K11" s="219">
        <f t="shared" si="3"/>
        <v>0</v>
      </c>
    </row>
    <row r="12" spans="1:11" ht="15">
      <c r="A12" s="169" t="s">
        <v>14</v>
      </c>
      <c r="B12" s="170">
        <v>90</v>
      </c>
      <c r="C12" s="171">
        <f t="shared" si="0"/>
        <v>18400000</v>
      </c>
      <c r="D12" s="172"/>
      <c r="E12" s="173">
        <f t="shared" si="1"/>
        <v>322000.00000000006</v>
      </c>
      <c r="F12" s="173"/>
      <c r="G12" s="206"/>
      <c r="H12" s="212"/>
      <c r="I12" s="212"/>
      <c r="J12" s="219">
        <f t="shared" si="2"/>
        <v>0</v>
      </c>
      <c r="K12" s="219">
        <f t="shared" si="3"/>
        <v>0</v>
      </c>
    </row>
    <row r="13" spans="1:11" ht="15.75" thickBot="1">
      <c r="A13" s="174" t="s">
        <v>15</v>
      </c>
      <c r="B13" s="175">
        <v>90</v>
      </c>
      <c r="C13" s="176">
        <f t="shared" si="0"/>
        <v>18400000</v>
      </c>
      <c r="D13" s="177"/>
      <c r="E13" s="178">
        <f t="shared" si="1"/>
        <v>322000.00000000006</v>
      </c>
      <c r="F13" s="178">
        <f>SUM(D10:D13)</f>
        <v>0</v>
      </c>
      <c r="G13" s="207">
        <f>SUM(E10:E13)</f>
        <v>1288000.0000000002</v>
      </c>
      <c r="H13" s="213">
        <v>3000000</v>
      </c>
      <c r="I13" s="213">
        <v>990000</v>
      </c>
      <c r="J13" s="219">
        <f>H13+F13</f>
        <v>3000000</v>
      </c>
      <c r="K13" s="219">
        <f t="shared" si="3"/>
        <v>2278000</v>
      </c>
    </row>
    <row r="14" spans="1:11" ht="15">
      <c r="A14" s="164" t="s">
        <v>16</v>
      </c>
      <c r="B14" s="165">
        <v>90</v>
      </c>
      <c r="C14" s="166">
        <f t="shared" si="0"/>
        <v>18400000</v>
      </c>
      <c r="D14" s="167"/>
      <c r="E14" s="168">
        <f t="shared" si="1"/>
        <v>322000.00000000006</v>
      </c>
      <c r="F14" s="168"/>
      <c r="G14" s="205"/>
      <c r="H14" s="212"/>
      <c r="I14" s="213"/>
      <c r="J14" s="219">
        <f t="shared" si="2"/>
        <v>0</v>
      </c>
      <c r="K14" s="219">
        <f t="shared" si="3"/>
        <v>0</v>
      </c>
    </row>
    <row r="15" spans="1:11" ht="15">
      <c r="A15" s="169" t="s">
        <v>17</v>
      </c>
      <c r="B15" s="170">
        <v>90</v>
      </c>
      <c r="C15" s="171">
        <f t="shared" si="0"/>
        <v>18400000</v>
      </c>
      <c r="D15" s="172"/>
      <c r="E15" s="173">
        <f t="shared" si="1"/>
        <v>322000.00000000006</v>
      </c>
      <c r="F15" s="173"/>
      <c r="G15" s="206"/>
      <c r="H15" s="213"/>
      <c r="I15" s="212"/>
      <c r="J15" s="219">
        <f t="shared" si="2"/>
        <v>0</v>
      </c>
      <c r="K15" s="219">
        <f t="shared" si="3"/>
        <v>0</v>
      </c>
    </row>
    <row r="16" spans="1:11" ht="15">
      <c r="A16" s="169" t="s">
        <v>18</v>
      </c>
      <c r="B16" s="170">
        <v>90</v>
      </c>
      <c r="C16" s="171">
        <f t="shared" si="0"/>
        <v>18400000</v>
      </c>
      <c r="D16" s="172"/>
      <c r="E16" s="173">
        <f t="shared" si="1"/>
        <v>322000.00000000006</v>
      </c>
      <c r="F16" s="173"/>
      <c r="G16" s="206"/>
      <c r="H16" s="212"/>
      <c r="I16" s="212"/>
      <c r="J16" s="219">
        <f t="shared" si="2"/>
        <v>0</v>
      </c>
      <c r="K16" s="219">
        <f t="shared" si="3"/>
        <v>0</v>
      </c>
    </row>
    <row r="17" spans="1:11" ht="15.75" thickBot="1">
      <c r="A17" s="174" t="s">
        <v>19</v>
      </c>
      <c r="B17" s="175">
        <v>90</v>
      </c>
      <c r="C17" s="176">
        <f t="shared" si="0"/>
        <v>18400000</v>
      </c>
      <c r="D17" s="177"/>
      <c r="E17" s="178">
        <f t="shared" si="1"/>
        <v>322000.00000000006</v>
      </c>
      <c r="F17" s="178">
        <f>SUM(D14:D17)</f>
        <v>0</v>
      </c>
      <c r="G17" s="207">
        <f>SUM(E14:E17)</f>
        <v>1288000.0000000002</v>
      </c>
      <c r="H17" s="213">
        <v>3000000</v>
      </c>
      <c r="I17" s="213">
        <v>825000</v>
      </c>
      <c r="J17" s="219">
        <f t="shared" si="2"/>
        <v>3000000</v>
      </c>
      <c r="K17" s="219">
        <f t="shared" si="3"/>
        <v>2113000</v>
      </c>
    </row>
    <row r="18" spans="1:30" ht="15">
      <c r="A18" s="164" t="s">
        <v>20</v>
      </c>
      <c r="B18" s="165">
        <v>90</v>
      </c>
      <c r="C18" s="166">
        <f t="shared" si="0"/>
        <v>18400000</v>
      </c>
      <c r="D18" s="167"/>
      <c r="E18" s="168">
        <f t="shared" si="1"/>
        <v>322000.00000000006</v>
      </c>
      <c r="F18" s="168"/>
      <c r="G18" s="205"/>
      <c r="H18" s="212"/>
      <c r="I18" s="212"/>
      <c r="J18" s="219">
        <f t="shared" si="2"/>
        <v>0</v>
      </c>
      <c r="K18" s="219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69" t="s">
        <v>21</v>
      </c>
      <c r="B19" s="170">
        <v>90</v>
      </c>
      <c r="C19" s="171">
        <f t="shared" si="0"/>
        <v>18400000</v>
      </c>
      <c r="D19" s="172"/>
      <c r="E19" s="173">
        <f t="shared" si="1"/>
        <v>322000.00000000006</v>
      </c>
      <c r="F19" s="173"/>
      <c r="G19" s="206"/>
      <c r="H19" s="213"/>
      <c r="I19" s="212"/>
      <c r="J19" s="219">
        <f t="shared" si="2"/>
        <v>0</v>
      </c>
      <c r="K19" s="219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79" t="s">
        <v>22</v>
      </c>
      <c r="B20" s="180">
        <v>90</v>
      </c>
      <c r="C20" s="171">
        <f t="shared" si="0"/>
        <v>18400000</v>
      </c>
      <c r="D20" s="172"/>
      <c r="E20" s="173">
        <f t="shared" si="1"/>
        <v>322000.00000000006</v>
      </c>
      <c r="F20" s="181"/>
      <c r="G20" s="208"/>
      <c r="H20" s="215"/>
      <c r="I20" s="216"/>
      <c r="J20" s="219">
        <f t="shared" si="2"/>
        <v>0</v>
      </c>
      <c r="K20" s="219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82" t="s">
        <v>23</v>
      </c>
      <c r="B21" s="183">
        <v>90</v>
      </c>
      <c r="C21" s="176">
        <f t="shared" si="0"/>
        <v>18400000</v>
      </c>
      <c r="D21" s="177"/>
      <c r="E21" s="178">
        <f t="shared" si="1"/>
        <v>322000.00000000006</v>
      </c>
      <c r="F21" s="184">
        <f>SUM(D18:D21)</f>
        <v>0</v>
      </c>
      <c r="G21" s="209">
        <f>SUM(E18:E21)</f>
        <v>1288000.0000000002</v>
      </c>
      <c r="H21" s="213">
        <v>3000000</v>
      </c>
      <c r="I21" s="217">
        <v>660000</v>
      </c>
      <c r="J21" s="219">
        <f t="shared" si="2"/>
        <v>3000000</v>
      </c>
      <c r="K21" s="219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64" t="s">
        <v>24</v>
      </c>
      <c r="B22" s="165">
        <v>90</v>
      </c>
      <c r="C22" s="166">
        <f t="shared" si="0"/>
        <v>18400000</v>
      </c>
      <c r="D22" s="167"/>
      <c r="E22" s="168">
        <f t="shared" si="1"/>
        <v>322000.00000000006</v>
      </c>
      <c r="F22" s="168"/>
      <c r="G22" s="205"/>
      <c r="H22" s="212"/>
      <c r="I22" s="212"/>
      <c r="J22" s="219">
        <f t="shared" si="2"/>
        <v>0</v>
      </c>
      <c r="K22" s="219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69" t="s">
        <v>25</v>
      </c>
      <c r="B23" s="170">
        <v>90</v>
      </c>
      <c r="C23" s="171">
        <f t="shared" si="0"/>
        <v>18400000</v>
      </c>
      <c r="D23" s="172"/>
      <c r="E23" s="173">
        <f t="shared" si="1"/>
        <v>322000.00000000006</v>
      </c>
      <c r="F23" s="173"/>
      <c r="G23" s="206"/>
      <c r="H23" s="213"/>
      <c r="I23" s="212"/>
      <c r="J23" s="219">
        <f t="shared" si="2"/>
        <v>0</v>
      </c>
      <c r="K23" s="219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69" t="s">
        <v>26</v>
      </c>
      <c r="B24" s="170">
        <v>90</v>
      </c>
      <c r="C24" s="171">
        <f t="shared" si="0"/>
        <v>18400000</v>
      </c>
      <c r="D24" s="172"/>
      <c r="E24" s="173">
        <f t="shared" si="1"/>
        <v>322000.00000000006</v>
      </c>
      <c r="F24" s="173"/>
      <c r="G24" s="206"/>
      <c r="H24" s="212"/>
      <c r="I24" s="212"/>
      <c r="J24" s="219">
        <f t="shared" si="2"/>
        <v>0</v>
      </c>
      <c r="K24" s="219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74" t="s">
        <v>27</v>
      </c>
      <c r="B25" s="175">
        <v>90</v>
      </c>
      <c r="C25" s="176">
        <f t="shared" si="0"/>
        <v>18400000</v>
      </c>
      <c r="D25" s="177"/>
      <c r="E25" s="178">
        <f t="shared" si="1"/>
        <v>322000.00000000006</v>
      </c>
      <c r="F25" s="178">
        <f>SUM(D22:D25)</f>
        <v>0</v>
      </c>
      <c r="G25" s="207">
        <f>SUM(E22:E25)</f>
        <v>1288000.0000000002</v>
      </c>
      <c r="H25" s="213">
        <v>3000000</v>
      </c>
      <c r="I25" s="213">
        <v>495000</v>
      </c>
      <c r="J25" s="219">
        <f t="shared" si="2"/>
        <v>3000000</v>
      </c>
      <c r="K25" s="219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191" t="s">
        <v>28</v>
      </c>
      <c r="B26" s="192">
        <v>90</v>
      </c>
      <c r="C26" s="193">
        <f t="shared" si="0"/>
        <v>18400000</v>
      </c>
      <c r="D26" s="167"/>
      <c r="E26" s="168">
        <f t="shared" si="1"/>
        <v>322000.00000000006</v>
      </c>
      <c r="F26" s="194"/>
      <c r="G26" s="210"/>
      <c r="H26" s="216"/>
      <c r="I26" s="216"/>
      <c r="J26" s="219">
        <f t="shared" si="2"/>
        <v>0</v>
      </c>
      <c r="K26" s="219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.75" thickBot="1">
      <c r="A27" s="179" t="s">
        <v>29</v>
      </c>
      <c r="B27" s="180">
        <v>90</v>
      </c>
      <c r="C27" s="195">
        <f t="shared" si="0"/>
        <v>18400000</v>
      </c>
      <c r="D27" s="177"/>
      <c r="E27" s="173">
        <f t="shared" si="1"/>
        <v>322000.00000000006</v>
      </c>
      <c r="F27" s="181"/>
      <c r="G27" s="208"/>
      <c r="H27" s="217"/>
      <c r="I27" s="216"/>
      <c r="J27" s="219">
        <f t="shared" si="2"/>
        <v>0</v>
      </c>
      <c r="K27" s="219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.75" thickBot="1">
      <c r="A28" s="179" t="s">
        <v>30</v>
      </c>
      <c r="B28" s="180">
        <v>90</v>
      </c>
      <c r="C28" s="195">
        <f t="shared" si="0"/>
        <v>18400000</v>
      </c>
      <c r="D28" s="177"/>
      <c r="E28" s="173">
        <f t="shared" si="1"/>
        <v>322000.00000000006</v>
      </c>
      <c r="F28" s="181"/>
      <c r="G28" s="208"/>
      <c r="H28" s="216"/>
      <c r="I28" s="216"/>
      <c r="J28" s="219">
        <f t="shared" si="2"/>
        <v>0</v>
      </c>
      <c r="K28" s="219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85" t="s">
        <v>31</v>
      </c>
      <c r="B29" s="186">
        <v>90</v>
      </c>
      <c r="C29" s="200">
        <f t="shared" si="0"/>
        <v>18400000</v>
      </c>
      <c r="D29" s="177"/>
      <c r="E29" s="189">
        <f t="shared" si="1"/>
        <v>322000.00000000006</v>
      </c>
      <c r="F29" s="190">
        <f>SUM(D26:D29)</f>
        <v>0</v>
      </c>
      <c r="G29" s="211">
        <f>SUM(E26:E29)</f>
        <v>1288000.0000000002</v>
      </c>
      <c r="H29" s="213">
        <v>3000000</v>
      </c>
      <c r="I29" s="217">
        <v>360000</v>
      </c>
      <c r="J29" s="219">
        <f t="shared" si="2"/>
        <v>3000000</v>
      </c>
      <c r="K29" s="219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 thickBot="1">
      <c r="A30" s="164" t="s">
        <v>32</v>
      </c>
      <c r="B30" s="165">
        <v>90</v>
      </c>
      <c r="C30" s="166">
        <f t="shared" si="0"/>
        <v>18400000</v>
      </c>
      <c r="D30" s="167">
        <v>500000</v>
      </c>
      <c r="E30" s="168">
        <f t="shared" si="1"/>
        <v>322000.00000000006</v>
      </c>
      <c r="F30" s="168"/>
      <c r="G30" s="205"/>
      <c r="H30" s="218"/>
      <c r="I30" s="212"/>
      <c r="J30" s="219">
        <f t="shared" si="2"/>
        <v>0</v>
      </c>
      <c r="K30" s="219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.75" thickBot="1">
      <c r="A31" s="169" t="s">
        <v>33</v>
      </c>
      <c r="B31" s="170">
        <v>90</v>
      </c>
      <c r="C31" s="171">
        <f t="shared" si="0"/>
        <v>17900000</v>
      </c>
      <c r="D31" s="167">
        <v>500000</v>
      </c>
      <c r="E31" s="173">
        <f t="shared" si="1"/>
        <v>313250.00000000006</v>
      </c>
      <c r="F31" s="173"/>
      <c r="G31" s="206"/>
      <c r="H31" s="213"/>
      <c r="I31" s="212"/>
      <c r="J31" s="219">
        <f t="shared" si="2"/>
        <v>0</v>
      </c>
      <c r="K31" s="219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.75" thickBot="1">
      <c r="A32" s="169" t="s">
        <v>34</v>
      </c>
      <c r="B32" s="170">
        <v>90</v>
      </c>
      <c r="C32" s="171">
        <f t="shared" si="0"/>
        <v>17400000</v>
      </c>
      <c r="D32" s="167">
        <v>500000</v>
      </c>
      <c r="E32" s="173">
        <f t="shared" si="1"/>
        <v>304500.00000000006</v>
      </c>
      <c r="F32" s="173"/>
      <c r="G32" s="206"/>
      <c r="H32" s="212"/>
      <c r="I32" s="212"/>
      <c r="J32" s="219">
        <f t="shared" si="2"/>
        <v>0</v>
      </c>
      <c r="K32" s="219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74" t="s">
        <v>35</v>
      </c>
      <c r="B33" s="175">
        <v>90</v>
      </c>
      <c r="C33" s="176">
        <f t="shared" si="0"/>
        <v>16900000</v>
      </c>
      <c r="D33" s="167">
        <v>500000</v>
      </c>
      <c r="E33" s="178">
        <f t="shared" si="1"/>
        <v>295750.00000000006</v>
      </c>
      <c r="F33" s="178">
        <f>SUM(D30:D33)</f>
        <v>2000000</v>
      </c>
      <c r="G33" s="207">
        <f>SUM(E30:E33)</f>
        <v>1235500.0000000002</v>
      </c>
      <c r="H33" s="213">
        <v>3000000</v>
      </c>
      <c r="I33" s="213">
        <v>180000</v>
      </c>
      <c r="J33" s="219">
        <f t="shared" si="2"/>
        <v>5000000</v>
      </c>
      <c r="K33" s="219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191" t="s">
        <v>36</v>
      </c>
      <c r="B34" s="192">
        <v>90</v>
      </c>
      <c r="C34" s="193">
        <f t="shared" si="0"/>
        <v>16400000</v>
      </c>
      <c r="D34" s="197">
        <v>1475000</v>
      </c>
      <c r="E34" s="194">
        <f t="shared" si="1"/>
        <v>287000.00000000006</v>
      </c>
      <c r="F34" s="194"/>
      <c r="G34" s="210"/>
      <c r="H34" s="216"/>
      <c r="I34" s="216"/>
      <c r="J34" s="219">
        <f t="shared" si="2"/>
        <v>0</v>
      </c>
      <c r="K34" s="219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79" t="s">
        <v>37</v>
      </c>
      <c r="B35" s="180">
        <v>90</v>
      </c>
      <c r="C35" s="195">
        <f t="shared" si="0"/>
        <v>14925000</v>
      </c>
      <c r="D35" s="198">
        <v>1475000</v>
      </c>
      <c r="E35" s="181">
        <f t="shared" si="1"/>
        <v>261187.50000000003</v>
      </c>
      <c r="F35" s="181"/>
      <c r="G35" s="208"/>
      <c r="H35" s="217"/>
      <c r="I35" s="216"/>
      <c r="J35" s="219">
        <f t="shared" si="2"/>
        <v>0</v>
      </c>
      <c r="K35" s="219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79" t="s">
        <v>38</v>
      </c>
      <c r="B36" s="180">
        <v>90</v>
      </c>
      <c r="C36" s="195">
        <f t="shared" si="0"/>
        <v>13450000</v>
      </c>
      <c r="D36" s="198">
        <v>1725000</v>
      </c>
      <c r="E36" s="181">
        <f t="shared" si="1"/>
        <v>235375.00000000003</v>
      </c>
      <c r="F36" s="181"/>
      <c r="G36" s="208"/>
      <c r="H36" s="216"/>
      <c r="I36" s="216"/>
      <c r="J36" s="219">
        <f t="shared" si="2"/>
        <v>0</v>
      </c>
      <c r="K36" s="219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82" t="s">
        <v>39</v>
      </c>
      <c r="B37" s="183">
        <v>90</v>
      </c>
      <c r="C37" s="196">
        <f t="shared" si="0"/>
        <v>11725000</v>
      </c>
      <c r="D37" s="199">
        <v>1925000</v>
      </c>
      <c r="E37" s="184">
        <f t="shared" si="1"/>
        <v>205187.5</v>
      </c>
      <c r="F37" s="184">
        <f>SUM(D34:D37)</f>
        <v>6600000</v>
      </c>
      <c r="G37" s="209">
        <f>SUM(E34:E37)</f>
        <v>988750.0000000001</v>
      </c>
      <c r="H37" s="213"/>
      <c r="I37" s="216"/>
      <c r="J37" s="219">
        <f t="shared" si="2"/>
        <v>6600000</v>
      </c>
      <c r="K37" s="219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64" t="s">
        <v>40</v>
      </c>
      <c r="B38" s="165">
        <v>90</v>
      </c>
      <c r="C38" s="166">
        <f t="shared" si="0"/>
        <v>9800000</v>
      </c>
      <c r="D38" s="197">
        <v>1250000</v>
      </c>
      <c r="E38" s="168">
        <f>B38*C38*0.07/360</f>
        <v>171500.00000000003</v>
      </c>
      <c r="F38" s="168"/>
      <c r="G38" s="205"/>
      <c r="H38" s="212"/>
      <c r="I38" s="212"/>
      <c r="J38" s="219">
        <f t="shared" si="2"/>
        <v>0</v>
      </c>
      <c r="K38" s="219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69" t="s">
        <v>41</v>
      </c>
      <c r="B39" s="170">
        <v>90</v>
      </c>
      <c r="C39" s="171">
        <f t="shared" si="0"/>
        <v>8550000</v>
      </c>
      <c r="D39" s="198">
        <f>D38</f>
        <v>1250000</v>
      </c>
      <c r="E39" s="173">
        <f t="shared" si="1"/>
        <v>149625.00000000003</v>
      </c>
      <c r="F39" s="173"/>
      <c r="G39" s="206"/>
      <c r="H39" s="213"/>
      <c r="I39" s="212"/>
      <c r="J39" s="219">
        <f t="shared" si="2"/>
        <v>0</v>
      </c>
      <c r="K39" s="219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69" t="s">
        <v>42</v>
      </c>
      <c r="B40" s="170">
        <v>90</v>
      </c>
      <c r="C40" s="171">
        <f t="shared" si="0"/>
        <v>7300000</v>
      </c>
      <c r="D40" s="198">
        <v>1500000</v>
      </c>
      <c r="E40" s="173">
        <f t="shared" si="1"/>
        <v>127750.00000000001</v>
      </c>
      <c r="F40" s="173"/>
      <c r="G40" s="206"/>
      <c r="H40" s="212"/>
      <c r="I40" s="212"/>
      <c r="J40" s="219">
        <f t="shared" si="2"/>
        <v>0</v>
      </c>
      <c r="K40" s="219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74" t="s">
        <v>43</v>
      </c>
      <c r="B41" s="175">
        <v>90</v>
      </c>
      <c r="C41" s="176">
        <f aca="true" t="shared" si="4" ref="C41:C49">C40-D40</f>
        <v>5800000</v>
      </c>
      <c r="D41" s="199">
        <v>1700000</v>
      </c>
      <c r="E41" s="178">
        <f t="shared" si="1"/>
        <v>101500</v>
      </c>
      <c r="F41" s="178">
        <f>SUM(D38:D41)</f>
        <v>5700000</v>
      </c>
      <c r="G41" s="207">
        <f>SUM(E38:E41)</f>
        <v>550375</v>
      </c>
      <c r="H41" s="213"/>
      <c r="I41" s="212"/>
      <c r="J41" s="219">
        <f t="shared" si="2"/>
        <v>5700000</v>
      </c>
      <c r="K41" s="219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64" t="s">
        <v>44</v>
      </c>
      <c r="B42" s="165">
        <v>90</v>
      </c>
      <c r="C42" s="166">
        <f t="shared" si="4"/>
        <v>4100000</v>
      </c>
      <c r="D42" s="197">
        <v>1100000</v>
      </c>
      <c r="E42" s="168">
        <f aca="true" t="shared" si="5" ref="E42:E49">B42*C42*0.07/360</f>
        <v>71750.00000000001</v>
      </c>
      <c r="F42" s="168"/>
      <c r="G42" s="205"/>
      <c r="H42" s="212"/>
      <c r="I42" s="212"/>
      <c r="J42" s="219">
        <f t="shared" si="2"/>
        <v>0</v>
      </c>
      <c r="K42" s="219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69" t="s">
        <v>45</v>
      </c>
      <c r="B43" s="170">
        <v>90</v>
      </c>
      <c r="C43" s="171">
        <f t="shared" si="4"/>
        <v>3000000</v>
      </c>
      <c r="D43" s="198">
        <v>1000000</v>
      </c>
      <c r="E43" s="173">
        <f t="shared" si="5"/>
        <v>52500</v>
      </c>
      <c r="F43" s="173"/>
      <c r="G43" s="206"/>
      <c r="H43" s="213"/>
      <c r="I43" s="212"/>
      <c r="J43" s="219">
        <f t="shared" si="2"/>
        <v>0</v>
      </c>
      <c r="K43" s="219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69" t="s">
        <v>46</v>
      </c>
      <c r="B44" s="170">
        <v>90</v>
      </c>
      <c r="C44" s="171">
        <f t="shared" si="4"/>
        <v>2000000</v>
      </c>
      <c r="D44" s="198">
        <v>1000000</v>
      </c>
      <c r="E44" s="173">
        <f t="shared" si="5"/>
        <v>35000.00000000001</v>
      </c>
      <c r="F44" s="173"/>
      <c r="G44" s="206"/>
      <c r="H44" s="212"/>
      <c r="I44" s="212"/>
      <c r="J44" s="219">
        <f t="shared" si="2"/>
        <v>0</v>
      </c>
      <c r="K44" s="219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74" t="s">
        <v>47</v>
      </c>
      <c r="B45" s="175">
        <v>90</v>
      </c>
      <c r="C45" s="176">
        <f t="shared" si="4"/>
        <v>1000000</v>
      </c>
      <c r="D45" s="199">
        <v>1000000</v>
      </c>
      <c r="E45" s="178">
        <f t="shared" si="5"/>
        <v>17500.000000000004</v>
      </c>
      <c r="F45" s="178">
        <f>SUM(D42:D45)</f>
        <v>4100000</v>
      </c>
      <c r="G45" s="207">
        <f>SUM(E42:E45)</f>
        <v>176750.00000000003</v>
      </c>
      <c r="H45" s="212"/>
      <c r="I45" s="212"/>
      <c r="J45" s="219">
        <f t="shared" si="2"/>
        <v>4100000</v>
      </c>
      <c r="K45" s="219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64" t="s">
        <v>44</v>
      </c>
      <c r="B46" s="165">
        <v>90</v>
      </c>
      <c r="C46" s="166">
        <f t="shared" si="4"/>
        <v>0</v>
      </c>
      <c r="D46" s="197"/>
      <c r="E46" s="168">
        <f t="shared" si="5"/>
        <v>0</v>
      </c>
      <c r="F46" s="168"/>
      <c r="G46" s="205"/>
      <c r="H46" s="212"/>
      <c r="I46" s="212"/>
      <c r="J46" s="219">
        <f aca="true" t="shared" si="6" ref="J46:K49">H46+F46</f>
        <v>0</v>
      </c>
      <c r="K46" s="219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69" t="s">
        <v>45</v>
      </c>
      <c r="B47" s="170">
        <v>90</v>
      </c>
      <c r="C47" s="171">
        <f t="shared" si="4"/>
        <v>0</v>
      </c>
      <c r="D47" s="198"/>
      <c r="E47" s="173">
        <f t="shared" si="5"/>
        <v>0</v>
      </c>
      <c r="F47" s="173"/>
      <c r="G47" s="206"/>
      <c r="H47" s="213"/>
      <c r="I47" s="212"/>
      <c r="J47" s="219">
        <f t="shared" si="6"/>
        <v>0</v>
      </c>
      <c r="K47" s="219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69" t="s">
        <v>46</v>
      </c>
      <c r="B48" s="170">
        <v>90</v>
      </c>
      <c r="C48" s="171">
        <f t="shared" si="4"/>
        <v>0</v>
      </c>
      <c r="D48" s="198"/>
      <c r="E48" s="173">
        <f t="shared" si="5"/>
        <v>0</v>
      </c>
      <c r="F48" s="173"/>
      <c r="G48" s="206"/>
      <c r="H48" s="212"/>
      <c r="I48" s="212"/>
      <c r="J48" s="219">
        <f t="shared" si="6"/>
        <v>0</v>
      </c>
      <c r="K48" s="219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74" t="s">
        <v>47</v>
      </c>
      <c r="B49" s="175">
        <v>90</v>
      </c>
      <c r="C49" s="176">
        <f t="shared" si="4"/>
        <v>0</v>
      </c>
      <c r="D49" s="199"/>
      <c r="E49" s="178">
        <f t="shared" si="5"/>
        <v>0</v>
      </c>
      <c r="F49" s="178">
        <f>SUM(D46:D49)</f>
        <v>0</v>
      </c>
      <c r="G49" s="207">
        <f>SUM(E46:E49)</f>
        <v>0</v>
      </c>
      <c r="H49" s="212"/>
      <c r="I49" s="212"/>
      <c r="J49" s="219">
        <f t="shared" si="6"/>
        <v>0</v>
      </c>
      <c r="K49" s="219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26"/>
      <c r="K51" s="22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5" t="s">
        <v>219</v>
      </c>
      <c r="B1" s="595"/>
      <c r="C1" s="595"/>
      <c r="D1" s="595"/>
      <c r="E1" s="595"/>
      <c r="F1" s="595"/>
      <c r="G1" s="595"/>
    </row>
    <row r="2" spans="1:11" ht="21.75" customHeight="1" thickBot="1">
      <c r="A2" s="284" t="s">
        <v>0</v>
      </c>
      <c r="B2" s="285"/>
      <c r="C2" s="286" t="s">
        <v>1</v>
      </c>
      <c r="D2" s="286" t="s">
        <v>2</v>
      </c>
      <c r="E2" s="287" t="s">
        <v>3</v>
      </c>
      <c r="F2" s="286" t="s">
        <v>4</v>
      </c>
      <c r="G2" s="288" t="s">
        <v>5</v>
      </c>
      <c r="H2" s="289" t="s">
        <v>213</v>
      </c>
      <c r="I2" s="290" t="s">
        <v>3</v>
      </c>
      <c r="J2" s="291" t="s">
        <v>215</v>
      </c>
      <c r="K2" s="291" t="s">
        <v>3</v>
      </c>
    </row>
    <row r="3" spans="1:11" ht="12.75">
      <c r="A3" s="292" t="s">
        <v>6</v>
      </c>
      <c r="B3" s="293">
        <v>90</v>
      </c>
      <c r="C3" s="294">
        <v>0</v>
      </c>
      <c r="D3" s="12">
        <v>0</v>
      </c>
      <c r="E3" s="13">
        <v>0</v>
      </c>
      <c r="F3" s="13">
        <v>0</v>
      </c>
      <c r="G3" s="203"/>
      <c r="H3" s="295">
        <v>2141585</v>
      </c>
      <c r="I3" s="296">
        <v>733601</v>
      </c>
      <c r="J3" s="297">
        <f>H3+'spł poż'!F8</f>
        <v>2191585</v>
      </c>
      <c r="K3" s="297">
        <f>I3+'spł poż'!G8</f>
        <v>907289</v>
      </c>
    </row>
    <row r="4" spans="1:11" ht="0.75" customHeight="1" thickBot="1">
      <c r="A4" s="298" t="s">
        <v>7</v>
      </c>
      <c r="B4" s="299">
        <v>90</v>
      </c>
      <c r="C4" s="300">
        <f>C3</f>
        <v>0</v>
      </c>
      <c r="D4" s="12">
        <v>0</v>
      </c>
      <c r="E4" s="163">
        <f>B4*C4*5.5%/360</f>
        <v>0</v>
      </c>
      <c r="F4" s="163">
        <v>0</v>
      </c>
      <c r="G4" s="204">
        <f>E3+E4</f>
        <v>0</v>
      </c>
      <c r="H4" s="301"/>
      <c r="I4" s="302"/>
      <c r="J4" s="303"/>
      <c r="K4" s="303"/>
    </row>
    <row r="5" spans="1:36" s="2" customFormat="1" ht="12.75">
      <c r="A5" s="304" t="s">
        <v>8</v>
      </c>
      <c r="B5" s="305">
        <v>90</v>
      </c>
      <c r="C5" s="167">
        <f>C4-D4</f>
        <v>0</v>
      </c>
      <c r="D5" s="167">
        <v>0</v>
      </c>
      <c r="E5" s="168">
        <f>B5*C5*5.5%/360</f>
        <v>0</v>
      </c>
      <c r="F5" s="168"/>
      <c r="G5" s="205"/>
      <c r="H5" s="228"/>
      <c r="I5" s="229"/>
      <c r="J5" s="220"/>
      <c r="K5" s="2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06" t="s">
        <v>9</v>
      </c>
      <c r="B6" s="307">
        <v>90</v>
      </c>
      <c r="C6" s="172">
        <f>C5-D5</f>
        <v>0</v>
      </c>
      <c r="D6" s="172">
        <v>0</v>
      </c>
      <c r="E6" s="173">
        <f>B6*C6*5.5%/360</f>
        <v>0</v>
      </c>
      <c r="F6" s="173"/>
      <c r="G6" s="206"/>
      <c r="H6" s="301"/>
      <c r="I6" s="302"/>
      <c r="J6" s="308"/>
      <c r="K6" s="308"/>
    </row>
    <row r="7" spans="1:11" ht="12.75">
      <c r="A7" s="306" t="s">
        <v>10</v>
      </c>
      <c r="B7" s="307">
        <v>90</v>
      </c>
      <c r="C7" s="172">
        <v>10000000</v>
      </c>
      <c r="D7" s="172">
        <v>0</v>
      </c>
      <c r="E7" s="173">
        <v>125000</v>
      </c>
      <c r="F7" s="173"/>
      <c r="G7" s="206"/>
      <c r="H7" s="301"/>
      <c r="I7" s="302"/>
      <c r="J7" s="308"/>
      <c r="K7" s="308"/>
    </row>
    <row r="8" spans="1:11" ht="13.5" thickBot="1">
      <c r="A8" s="309" t="s">
        <v>11</v>
      </c>
      <c r="B8" s="310">
        <v>90</v>
      </c>
      <c r="C8" s="177">
        <v>10000000</v>
      </c>
      <c r="D8" s="177">
        <v>0</v>
      </c>
      <c r="E8" s="173">
        <f>B8*C8*7%/360</f>
        <v>175000.00000000003</v>
      </c>
      <c r="F8" s="178">
        <f>D6+D7+D8</f>
        <v>0</v>
      </c>
      <c r="G8" s="207">
        <f>SUM(E5:E8)</f>
        <v>300000</v>
      </c>
      <c r="H8" s="311">
        <v>3485040</v>
      </c>
      <c r="I8" s="312">
        <v>697952</v>
      </c>
      <c r="J8" s="313">
        <f>H8+F8+'spł poż'!F8</f>
        <v>3535040</v>
      </c>
      <c r="K8" s="313">
        <f>I8+G8+'spł poż'!G8</f>
        <v>1171640</v>
      </c>
    </row>
    <row r="9" spans="1:11" ht="12.75">
      <c r="A9" s="304" t="s">
        <v>12</v>
      </c>
      <c r="B9" s="305">
        <v>90</v>
      </c>
      <c r="C9" s="167">
        <f>C8-D8</f>
        <v>10000000</v>
      </c>
      <c r="D9" s="167"/>
      <c r="E9" s="168">
        <f>B9*C9*0.07/360</f>
        <v>175000.00000000003</v>
      </c>
      <c r="F9" s="168"/>
      <c r="G9" s="205"/>
      <c r="H9" s="301"/>
      <c r="I9" s="302"/>
      <c r="J9" s="314">
        <f>H9+F9+'spł poż'!F9</f>
        <v>0</v>
      </c>
      <c r="K9" s="314">
        <f>I9+G9+'spł poż'!G9</f>
        <v>0</v>
      </c>
    </row>
    <row r="10" spans="1:11" ht="12.75">
      <c r="A10" s="306" t="s">
        <v>13</v>
      </c>
      <c r="B10" s="307">
        <v>90</v>
      </c>
      <c r="C10" s="172">
        <f aca="true" t="shared" si="0" ref="C10:C43">C9-D9</f>
        <v>10000000</v>
      </c>
      <c r="D10" s="172">
        <v>50000</v>
      </c>
      <c r="E10" s="173">
        <f aca="true" t="shared" si="1" ref="E10:E40">B10*C10*0.07/360</f>
        <v>175000.00000000003</v>
      </c>
      <c r="F10" s="173"/>
      <c r="G10" s="206"/>
      <c r="H10" s="301"/>
      <c r="I10" s="302"/>
      <c r="J10" s="315">
        <f>H10+F10+'spł poż'!F10</f>
        <v>0</v>
      </c>
      <c r="K10" s="315">
        <f>I10+G10+'spł poż'!G10</f>
        <v>0</v>
      </c>
    </row>
    <row r="11" spans="1:11" ht="12.75">
      <c r="A11" s="306" t="s">
        <v>14</v>
      </c>
      <c r="B11" s="307">
        <v>90</v>
      </c>
      <c r="C11" s="172">
        <f t="shared" si="0"/>
        <v>9950000</v>
      </c>
      <c r="D11" s="172"/>
      <c r="E11" s="173">
        <f t="shared" si="1"/>
        <v>174125.00000000003</v>
      </c>
      <c r="F11" s="173"/>
      <c r="G11" s="206"/>
      <c r="H11" s="301"/>
      <c r="I11" s="302"/>
      <c r="J11" s="315">
        <f>H11+F11+'spł poż'!F11</f>
        <v>0</v>
      </c>
      <c r="K11" s="315">
        <f>I11+G11+'spł poż'!G11</f>
        <v>0</v>
      </c>
    </row>
    <row r="12" spans="1:11" ht="13.5" thickBot="1">
      <c r="A12" s="309" t="s">
        <v>15</v>
      </c>
      <c r="B12" s="310">
        <v>90</v>
      </c>
      <c r="C12" s="177">
        <f t="shared" si="0"/>
        <v>9950000</v>
      </c>
      <c r="D12" s="177"/>
      <c r="E12" s="178">
        <f t="shared" si="1"/>
        <v>174125.00000000003</v>
      </c>
      <c r="F12" s="178">
        <f>SUM(D9:D12)</f>
        <v>50000</v>
      </c>
      <c r="G12" s="207">
        <f>SUM(E9:E12)</f>
        <v>698250.0000000001</v>
      </c>
      <c r="H12" s="311">
        <v>3616899</v>
      </c>
      <c r="I12" s="312">
        <v>575506</v>
      </c>
      <c r="J12" s="313">
        <f>H12+'spł poż'!F12</f>
        <v>3666899</v>
      </c>
      <c r="K12" s="313">
        <f>I12+G12+'spł poż'!G12</f>
        <v>1443944</v>
      </c>
    </row>
    <row r="13" spans="1:11" ht="12.75">
      <c r="A13" s="304" t="s">
        <v>16</v>
      </c>
      <c r="B13" s="305">
        <v>90</v>
      </c>
      <c r="C13" s="167">
        <f t="shared" si="0"/>
        <v>9950000</v>
      </c>
      <c r="D13" s="167"/>
      <c r="E13" s="168">
        <f t="shared" si="1"/>
        <v>174125.00000000003</v>
      </c>
      <c r="F13" s="168"/>
      <c r="G13" s="205"/>
      <c r="H13" s="301"/>
      <c r="I13" s="302"/>
      <c r="J13" s="314">
        <f>H13+F13+'spł poż'!F13</f>
        <v>0</v>
      </c>
      <c r="K13" s="314">
        <f>I13+G13+'spł poż'!G13</f>
        <v>0</v>
      </c>
    </row>
    <row r="14" spans="1:11" ht="12.75">
      <c r="A14" s="306" t="s">
        <v>17</v>
      </c>
      <c r="B14" s="307">
        <v>90</v>
      </c>
      <c r="C14" s="172">
        <f t="shared" si="0"/>
        <v>9950000</v>
      </c>
      <c r="D14" s="172">
        <v>50000</v>
      </c>
      <c r="E14" s="173">
        <f t="shared" si="1"/>
        <v>174125.00000000003</v>
      </c>
      <c r="F14" s="173"/>
      <c r="G14" s="206"/>
      <c r="H14" s="301"/>
      <c r="I14" s="302"/>
      <c r="J14" s="315">
        <f>H14+F14+'spł poż'!F14</f>
        <v>0</v>
      </c>
      <c r="K14" s="315">
        <f>I14+G14+'spł poż'!G14</f>
        <v>0</v>
      </c>
    </row>
    <row r="15" spans="1:11" ht="12.75">
      <c r="A15" s="306" t="s">
        <v>18</v>
      </c>
      <c r="B15" s="307">
        <v>90</v>
      </c>
      <c r="C15" s="172">
        <f t="shared" si="0"/>
        <v>9900000</v>
      </c>
      <c r="D15" s="172"/>
      <c r="E15" s="173">
        <f t="shared" si="1"/>
        <v>173250.00000000003</v>
      </c>
      <c r="F15" s="173"/>
      <c r="G15" s="206"/>
      <c r="H15" s="301"/>
      <c r="I15" s="302"/>
      <c r="J15" s="315">
        <f>H15+F15+'spł poż'!F15</f>
        <v>0</v>
      </c>
      <c r="K15" s="315">
        <f>I15+G15+'spł poż'!G15</f>
        <v>0</v>
      </c>
    </row>
    <row r="16" spans="1:11" ht="13.5" thickBot="1">
      <c r="A16" s="309" t="s">
        <v>19</v>
      </c>
      <c r="B16" s="310">
        <v>90</v>
      </c>
      <c r="C16" s="177">
        <f t="shared" si="0"/>
        <v>9900000</v>
      </c>
      <c r="D16" s="177"/>
      <c r="E16" s="178">
        <f t="shared" si="1"/>
        <v>173250.00000000003</v>
      </c>
      <c r="F16" s="178">
        <f>SUM(D13:D16)</f>
        <v>50000</v>
      </c>
      <c r="G16" s="207">
        <f>SUM(E13:E16)</f>
        <v>694750.0000000001</v>
      </c>
      <c r="H16" s="311">
        <v>3456453</v>
      </c>
      <c r="I16" s="312">
        <v>349963</v>
      </c>
      <c r="J16" s="313">
        <f>H16+'spł poż'!F16</f>
        <v>3506453</v>
      </c>
      <c r="K16" s="313">
        <f>I16+G16+'spł poż'!G16</f>
        <v>1211401</v>
      </c>
    </row>
    <row r="17" spans="1:11" ht="12.75">
      <c r="A17" s="304" t="s">
        <v>20</v>
      </c>
      <c r="B17" s="305">
        <v>90</v>
      </c>
      <c r="C17" s="167">
        <f t="shared" si="0"/>
        <v>9900000</v>
      </c>
      <c r="D17" s="167">
        <f>D16</f>
        <v>0</v>
      </c>
      <c r="E17" s="168">
        <f t="shared" si="1"/>
        <v>173250.00000000003</v>
      </c>
      <c r="F17" s="168"/>
      <c r="G17" s="205"/>
      <c r="H17" s="301"/>
      <c r="I17" s="302"/>
      <c r="J17" s="314">
        <f>H17+F17+'spł poż'!F17</f>
        <v>0</v>
      </c>
      <c r="K17" s="314">
        <f>I17+G17+'spł poż'!G17</f>
        <v>0</v>
      </c>
    </row>
    <row r="18" spans="1:11" ht="12.75">
      <c r="A18" s="306" t="s">
        <v>21</v>
      </c>
      <c r="B18" s="307">
        <v>90</v>
      </c>
      <c r="C18" s="172">
        <f t="shared" si="0"/>
        <v>9900000</v>
      </c>
      <c r="D18" s="172">
        <v>50000</v>
      </c>
      <c r="E18" s="173">
        <f t="shared" si="1"/>
        <v>173250.00000000003</v>
      </c>
      <c r="F18" s="173"/>
      <c r="G18" s="206"/>
      <c r="H18" s="301"/>
      <c r="I18" s="302"/>
      <c r="J18" s="315">
        <f>H18+F18+'spł poż'!F18</f>
        <v>0</v>
      </c>
      <c r="K18" s="315">
        <f>I18+G18+'spł poż'!G18</f>
        <v>0</v>
      </c>
    </row>
    <row r="19" spans="1:36" s="17" customFormat="1" ht="12.75">
      <c r="A19" s="316" t="s">
        <v>22</v>
      </c>
      <c r="B19" s="317">
        <v>90</v>
      </c>
      <c r="C19" s="172">
        <f t="shared" si="0"/>
        <v>9850000</v>
      </c>
      <c r="D19" s="172"/>
      <c r="E19" s="173">
        <f t="shared" si="1"/>
        <v>172375.00000000003</v>
      </c>
      <c r="F19" s="181"/>
      <c r="G19" s="208"/>
      <c r="H19" s="301"/>
      <c r="I19" s="302"/>
      <c r="J19" s="315">
        <f>H19+F19+'spł poż'!F19</f>
        <v>0</v>
      </c>
      <c r="K19" s="315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18" t="s">
        <v>23</v>
      </c>
      <c r="B20" s="319">
        <v>90</v>
      </c>
      <c r="C20" s="188">
        <f t="shared" si="0"/>
        <v>9850000</v>
      </c>
      <c r="D20" s="201"/>
      <c r="E20" s="189">
        <f t="shared" si="1"/>
        <v>172375.00000000003</v>
      </c>
      <c r="F20" s="190">
        <f>SUM(D17:D20)</f>
        <v>50000</v>
      </c>
      <c r="G20" s="211">
        <f>SUM(E17:E20)</f>
        <v>691250.0000000001</v>
      </c>
      <c r="H20" s="311">
        <v>2500000</v>
      </c>
      <c r="I20" s="312">
        <v>258568</v>
      </c>
      <c r="J20" s="320">
        <f>H20+'spł poż'!F20</f>
        <v>2550000</v>
      </c>
      <c r="K20" s="320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04" t="s">
        <v>24</v>
      </c>
      <c r="B21" s="305">
        <v>90</v>
      </c>
      <c r="C21" s="167">
        <f t="shared" si="0"/>
        <v>9850000</v>
      </c>
      <c r="D21" s="197"/>
      <c r="E21" s="168">
        <f t="shared" si="1"/>
        <v>172375.00000000003</v>
      </c>
      <c r="F21" s="168"/>
      <c r="G21" s="205"/>
      <c r="H21" s="301"/>
      <c r="I21" s="302"/>
      <c r="J21" s="314">
        <f>H21+F21+'spł poż'!F21</f>
        <v>0</v>
      </c>
      <c r="K21" s="314">
        <f>I21+G21+'spł poż'!G21</f>
        <v>0</v>
      </c>
    </row>
    <row r="22" spans="1:11" ht="12.75">
      <c r="A22" s="306" t="s">
        <v>25</v>
      </c>
      <c r="B22" s="307">
        <v>90</v>
      </c>
      <c r="C22" s="172">
        <f t="shared" si="0"/>
        <v>9850000</v>
      </c>
      <c r="D22" s="198">
        <v>50000</v>
      </c>
      <c r="E22" s="173">
        <f t="shared" si="1"/>
        <v>172375.00000000003</v>
      </c>
      <c r="F22" s="173"/>
      <c r="G22" s="206"/>
      <c r="H22" s="301"/>
      <c r="I22" s="302"/>
      <c r="J22" s="315">
        <f>H22+F22+'spł poż'!F22</f>
        <v>0</v>
      </c>
      <c r="K22" s="315">
        <f>I22+G22+'spł poż'!G22</f>
        <v>0</v>
      </c>
    </row>
    <row r="23" spans="1:11" ht="12.75">
      <c r="A23" s="306" t="s">
        <v>26</v>
      </c>
      <c r="B23" s="307">
        <v>90</v>
      </c>
      <c r="C23" s="172">
        <f t="shared" si="0"/>
        <v>9800000</v>
      </c>
      <c r="D23" s="172"/>
      <c r="E23" s="173">
        <f t="shared" si="1"/>
        <v>171500.00000000003</v>
      </c>
      <c r="F23" s="173"/>
      <c r="G23" s="206"/>
      <c r="H23" s="301"/>
      <c r="I23" s="302"/>
      <c r="J23" s="315">
        <f>H23+F23+'spł poż'!F23</f>
        <v>0</v>
      </c>
      <c r="K23" s="315">
        <f>I23+G23+'spł poż'!G23</f>
        <v>0</v>
      </c>
    </row>
    <row r="24" spans="1:11" ht="13.5" thickBot="1">
      <c r="A24" s="309" t="s">
        <v>27</v>
      </c>
      <c r="B24" s="310">
        <v>90</v>
      </c>
      <c r="C24" s="177">
        <f t="shared" si="0"/>
        <v>9800000</v>
      </c>
      <c r="D24" s="177"/>
      <c r="E24" s="178">
        <f t="shared" si="1"/>
        <v>171500.00000000003</v>
      </c>
      <c r="F24" s="178">
        <f>SUM(D21:D24)</f>
        <v>50000</v>
      </c>
      <c r="G24" s="207">
        <f>SUM(E21:E24)</f>
        <v>687750.0000000001</v>
      </c>
      <c r="H24" s="311">
        <v>2500000</v>
      </c>
      <c r="I24" s="312">
        <v>171068</v>
      </c>
      <c r="J24" s="221">
        <f>H24+'spł poż'!F24</f>
        <v>2550000</v>
      </c>
      <c r="K24" s="313">
        <f>I24+G24+'spł poż'!G24</f>
        <v>1018506.0000000001</v>
      </c>
    </row>
    <row r="25" spans="1:36" s="17" customFormat="1" ht="12.75">
      <c r="A25" s="321" t="s">
        <v>28</v>
      </c>
      <c r="B25" s="322">
        <v>90</v>
      </c>
      <c r="C25" s="167">
        <f t="shared" si="0"/>
        <v>9800000</v>
      </c>
      <c r="D25" s="197"/>
      <c r="E25" s="168">
        <f t="shared" si="1"/>
        <v>171500.00000000003</v>
      </c>
      <c r="F25" s="194"/>
      <c r="G25" s="210"/>
      <c r="H25" s="301"/>
      <c r="I25" s="302"/>
      <c r="J25" s="314">
        <f>H25+F25+'spł poż'!F25</f>
        <v>0</v>
      </c>
      <c r="K25" s="314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16" t="s">
        <v>29</v>
      </c>
      <c r="B26" s="317">
        <v>90</v>
      </c>
      <c r="C26" s="172">
        <f t="shared" si="0"/>
        <v>9800000</v>
      </c>
      <c r="D26" s="198">
        <v>100000</v>
      </c>
      <c r="E26" s="173">
        <f t="shared" si="1"/>
        <v>171500.00000000003</v>
      </c>
      <c r="F26" s="181"/>
      <c r="G26" s="208"/>
      <c r="H26" s="301"/>
      <c r="I26" s="302"/>
      <c r="J26" s="315">
        <f>H26+F26+'spł poż'!F26</f>
        <v>0</v>
      </c>
      <c r="K26" s="315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16" t="s">
        <v>30</v>
      </c>
      <c r="B27" s="317">
        <v>90</v>
      </c>
      <c r="C27" s="172">
        <f t="shared" si="0"/>
        <v>9700000</v>
      </c>
      <c r="D27" s="198"/>
      <c r="E27" s="173">
        <f t="shared" si="1"/>
        <v>169750.00000000003</v>
      </c>
      <c r="F27" s="181"/>
      <c r="G27" s="208"/>
      <c r="H27" s="301"/>
      <c r="I27" s="302"/>
      <c r="J27" s="315">
        <f>H27+F27+'spł poż'!F27</f>
        <v>0</v>
      </c>
      <c r="K27" s="315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23" t="s">
        <v>31</v>
      </c>
      <c r="B28" s="324">
        <v>90</v>
      </c>
      <c r="C28" s="177">
        <f t="shared" si="0"/>
        <v>9700000</v>
      </c>
      <c r="D28" s="199"/>
      <c r="E28" s="178">
        <f t="shared" si="1"/>
        <v>169750.00000000003</v>
      </c>
      <c r="F28" s="184">
        <f>SUM(D25:D28)</f>
        <v>100000</v>
      </c>
      <c r="G28" s="209">
        <f>SUM(E25:E28)</f>
        <v>682500.0000000001</v>
      </c>
      <c r="H28" s="311">
        <v>2376170</v>
      </c>
      <c r="I28" s="312">
        <v>83568</v>
      </c>
      <c r="J28" s="313">
        <f>H28+'spł poż'!F28</f>
        <v>2401170</v>
      </c>
      <c r="K28" s="313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04" t="s">
        <v>32</v>
      </c>
      <c r="B29" s="305">
        <v>90</v>
      </c>
      <c r="C29" s="167">
        <f t="shared" si="0"/>
        <v>9700000</v>
      </c>
      <c r="D29" s="167"/>
      <c r="E29" s="168">
        <f t="shared" si="1"/>
        <v>169750.00000000003</v>
      </c>
      <c r="F29" s="168"/>
      <c r="G29" s="205"/>
      <c r="H29" s="301"/>
      <c r="I29" s="302"/>
      <c r="J29" s="314">
        <f>H29+F29+'spł poż'!F29</f>
        <v>0</v>
      </c>
      <c r="K29" s="314">
        <f>I29+G29+'spł poż'!G29</f>
        <v>0</v>
      </c>
    </row>
    <row r="30" spans="1:11" ht="12.75">
      <c r="A30" s="306" t="s">
        <v>33</v>
      </c>
      <c r="B30" s="307">
        <v>90</v>
      </c>
      <c r="C30" s="172">
        <f t="shared" si="0"/>
        <v>9700000</v>
      </c>
      <c r="D30" s="198">
        <v>1000000</v>
      </c>
      <c r="E30" s="173">
        <f t="shared" si="1"/>
        <v>169750.00000000003</v>
      </c>
      <c r="F30" s="173"/>
      <c r="G30" s="206"/>
      <c r="H30" s="301"/>
      <c r="I30" s="302"/>
      <c r="J30" s="315">
        <f>H30+F30+'spł poż'!F30</f>
        <v>0</v>
      </c>
      <c r="K30" s="315">
        <f>I30+G30+'spł poż'!G30</f>
        <v>0</v>
      </c>
    </row>
    <row r="31" spans="1:11" ht="12.75">
      <c r="A31" s="306" t="s">
        <v>34</v>
      </c>
      <c r="B31" s="307">
        <v>90</v>
      </c>
      <c r="C31" s="172">
        <f t="shared" si="0"/>
        <v>8700000</v>
      </c>
      <c r="D31" s="198"/>
      <c r="E31" s="173">
        <f t="shared" si="1"/>
        <v>152250.00000000003</v>
      </c>
      <c r="F31" s="173"/>
      <c r="G31" s="206"/>
      <c r="H31" s="301"/>
      <c r="I31" s="302"/>
      <c r="J31" s="315">
        <f>H31+F31+'spł poż'!F31</f>
        <v>0</v>
      </c>
      <c r="K31" s="315">
        <f>I31+G31+'spł poż'!G31</f>
        <v>0</v>
      </c>
    </row>
    <row r="32" spans="1:11" ht="13.5" thickBot="1">
      <c r="A32" s="325" t="s">
        <v>35</v>
      </c>
      <c r="B32" s="326">
        <v>90</v>
      </c>
      <c r="C32" s="188">
        <f t="shared" si="0"/>
        <v>8700000</v>
      </c>
      <c r="D32" s="201"/>
      <c r="E32" s="189">
        <f t="shared" si="1"/>
        <v>152250.00000000003</v>
      </c>
      <c r="F32" s="189">
        <f>SUM(D29:D32)</f>
        <v>1000000</v>
      </c>
      <c r="G32" s="327">
        <f>SUM(E29:E32)</f>
        <v>644000.0000000001</v>
      </c>
      <c r="H32" s="311">
        <v>11500</v>
      </c>
      <c r="I32" s="302">
        <v>403</v>
      </c>
      <c r="J32" s="320">
        <f>H32+'spł poż'!F32</f>
        <v>62028</v>
      </c>
      <c r="K32" s="320">
        <f>I32+G32+'spł poż'!G32</f>
        <v>770831.2600000001</v>
      </c>
    </row>
    <row r="33" spans="1:36" s="17" customFormat="1" ht="12.75">
      <c r="A33" s="321" t="s">
        <v>36</v>
      </c>
      <c r="B33" s="322">
        <v>90</v>
      </c>
      <c r="C33" s="167">
        <f t="shared" si="0"/>
        <v>8700000</v>
      </c>
      <c r="D33" s="197"/>
      <c r="E33" s="168">
        <f t="shared" si="1"/>
        <v>152250.00000000003</v>
      </c>
      <c r="F33" s="194"/>
      <c r="G33" s="210"/>
      <c r="H33" s="301"/>
      <c r="I33" s="302"/>
      <c r="J33" s="314">
        <f>H33+F33+'spł poż'!F33</f>
        <v>0</v>
      </c>
      <c r="K33" s="314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16" t="s">
        <v>37</v>
      </c>
      <c r="B34" s="317">
        <v>90</v>
      </c>
      <c r="C34" s="172">
        <f t="shared" si="0"/>
        <v>8700000</v>
      </c>
      <c r="D34" s="198">
        <v>500000</v>
      </c>
      <c r="E34" s="173">
        <f t="shared" si="1"/>
        <v>152250.00000000003</v>
      </c>
      <c r="F34" s="181"/>
      <c r="G34" s="208"/>
      <c r="H34" s="301"/>
      <c r="I34" s="302"/>
      <c r="J34" s="315">
        <f>H34+F34+'spł poż'!F34</f>
        <v>0</v>
      </c>
      <c r="K34" s="315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16" t="s">
        <v>38</v>
      </c>
      <c r="B35" s="317">
        <v>90</v>
      </c>
      <c r="C35" s="172">
        <f t="shared" si="0"/>
        <v>8200000</v>
      </c>
      <c r="D35" s="198"/>
      <c r="E35" s="173">
        <f t="shared" si="1"/>
        <v>143500.00000000003</v>
      </c>
      <c r="F35" s="181"/>
      <c r="G35" s="208"/>
      <c r="H35" s="301"/>
      <c r="I35" s="302"/>
      <c r="J35" s="315">
        <f>H35+F35+'spł poż'!F35</f>
        <v>0</v>
      </c>
      <c r="K35" s="315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23" t="s">
        <v>39</v>
      </c>
      <c r="B36" s="324">
        <v>90</v>
      </c>
      <c r="C36" s="177">
        <f t="shared" si="0"/>
        <v>8200000</v>
      </c>
      <c r="D36" s="199"/>
      <c r="E36" s="178">
        <f t="shared" si="1"/>
        <v>143500.00000000003</v>
      </c>
      <c r="F36" s="184">
        <f>SUM(D33:D36)</f>
        <v>500000</v>
      </c>
      <c r="G36" s="209">
        <f>SUM(E33:E36)</f>
        <v>591500.0000000001</v>
      </c>
      <c r="H36" s="301"/>
      <c r="I36" s="302"/>
      <c r="J36" s="313">
        <f>H36+'spł poż'!F36</f>
        <v>750523</v>
      </c>
      <c r="K36" s="313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04" t="s">
        <v>40</v>
      </c>
      <c r="B37" s="305">
        <v>90</v>
      </c>
      <c r="C37" s="167">
        <f t="shared" si="0"/>
        <v>8200000</v>
      </c>
      <c r="D37" s="167">
        <f>D36</f>
        <v>0</v>
      </c>
      <c r="E37" s="168">
        <f t="shared" si="1"/>
        <v>143500.00000000003</v>
      </c>
      <c r="F37" s="168"/>
      <c r="G37" s="205"/>
      <c r="H37" s="301"/>
      <c r="I37" s="302"/>
      <c r="J37" s="314">
        <f>H37+F37+'spł poż'!F37</f>
        <v>0</v>
      </c>
      <c r="K37" s="314">
        <f>I37+G37+'spł poż'!G37</f>
        <v>0</v>
      </c>
    </row>
    <row r="38" spans="1:11" ht="12.75">
      <c r="A38" s="306" t="s">
        <v>41</v>
      </c>
      <c r="B38" s="307">
        <v>90</v>
      </c>
      <c r="C38" s="172">
        <f t="shared" si="0"/>
        <v>8200000</v>
      </c>
      <c r="D38" s="172">
        <v>500000</v>
      </c>
      <c r="E38" s="173">
        <f t="shared" si="1"/>
        <v>143500.00000000003</v>
      </c>
      <c r="F38" s="173"/>
      <c r="G38" s="206"/>
      <c r="H38" s="301"/>
      <c r="I38" s="302"/>
      <c r="J38" s="315">
        <f>H38+F38+'spł poż'!F38</f>
        <v>0</v>
      </c>
      <c r="K38" s="315">
        <f>I38+G38+'spł poż'!G38</f>
        <v>0</v>
      </c>
    </row>
    <row r="39" spans="1:11" ht="12.75">
      <c r="A39" s="306" t="s">
        <v>42</v>
      </c>
      <c r="B39" s="307">
        <v>90</v>
      </c>
      <c r="C39" s="172">
        <f t="shared" si="0"/>
        <v>7700000</v>
      </c>
      <c r="D39" s="172"/>
      <c r="E39" s="173">
        <f t="shared" si="1"/>
        <v>134750.00000000003</v>
      </c>
      <c r="F39" s="173"/>
      <c r="G39" s="206"/>
      <c r="H39" s="301"/>
      <c r="I39" s="302"/>
      <c r="J39" s="315">
        <f>H39+F39+'spł poż'!F39</f>
        <v>0</v>
      </c>
      <c r="K39" s="315">
        <f>I39+G39+'spł poż'!G39</f>
        <v>0</v>
      </c>
    </row>
    <row r="40" spans="1:11" ht="13.5" thickBot="1">
      <c r="A40" s="309" t="s">
        <v>43</v>
      </c>
      <c r="B40" s="310">
        <v>90</v>
      </c>
      <c r="C40" s="177">
        <f t="shared" si="0"/>
        <v>7700000</v>
      </c>
      <c r="D40" s="177"/>
      <c r="E40" s="178">
        <f t="shared" si="1"/>
        <v>134750.00000000003</v>
      </c>
      <c r="F40" s="178">
        <f>SUM(D37:D40)</f>
        <v>500000</v>
      </c>
      <c r="G40" s="207">
        <f>SUM(E37:E40)</f>
        <v>556500.0000000001</v>
      </c>
      <c r="H40" s="301"/>
      <c r="I40" s="302"/>
      <c r="J40" s="313">
        <f>'spł poż'!F40</f>
        <v>600000</v>
      </c>
      <c r="K40" s="313">
        <f>I40+G40+'spł poż'!G40</f>
        <v>612426.4300000002</v>
      </c>
    </row>
    <row r="41" spans="1:11" ht="12.75">
      <c r="A41" s="304" t="s">
        <v>44</v>
      </c>
      <c r="B41" s="305">
        <v>90</v>
      </c>
      <c r="C41" s="167">
        <f t="shared" si="0"/>
        <v>7700000</v>
      </c>
      <c r="D41" s="167"/>
      <c r="E41" s="168">
        <f aca="true" t="shared" si="2" ref="E41:E48">B41*C41*0.07/360</f>
        <v>134750.00000000003</v>
      </c>
      <c r="F41" s="168"/>
      <c r="G41" s="205"/>
      <c r="H41" s="301"/>
      <c r="I41" s="302"/>
      <c r="J41" s="314">
        <f>H41+F41+'spł poż'!F41</f>
        <v>0</v>
      </c>
      <c r="K41" s="314">
        <f>I41+G41+'spł poż'!G41</f>
        <v>0</v>
      </c>
    </row>
    <row r="42" spans="1:11" ht="12.75">
      <c r="A42" s="306" t="s">
        <v>45</v>
      </c>
      <c r="B42" s="307">
        <v>90</v>
      </c>
      <c r="C42" s="172">
        <f t="shared" si="0"/>
        <v>7700000</v>
      </c>
      <c r="D42" s="172">
        <v>600000</v>
      </c>
      <c r="E42" s="173">
        <f t="shared" si="2"/>
        <v>134750.00000000003</v>
      </c>
      <c r="F42" s="173"/>
      <c r="G42" s="206"/>
      <c r="H42" s="301"/>
      <c r="I42" s="302"/>
      <c r="J42" s="315">
        <f>H42+F42+'spł poż'!F42</f>
        <v>0</v>
      </c>
      <c r="K42" s="315">
        <f>I42+G42+'spł poż'!G42</f>
        <v>0</v>
      </c>
    </row>
    <row r="43" spans="1:11" ht="12.75">
      <c r="A43" s="306" t="s">
        <v>46</v>
      </c>
      <c r="B43" s="307">
        <v>90</v>
      </c>
      <c r="C43" s="172">
        <f t="shared" si="0"/>
        <v>7100000</v>
      </c>
      <c r="D43" s="172">
        <v>600000</v>
      </c>
      <c r="E43" s="173">
        <f t="shared" si="2"/>
        <v>124250.00000000001</v>
      </c>
      <c r="F43" s="173"/>
      <c r="G43" s="206"/>
      <c r="H43" s="301"/>
      <c r="I43" s="302"/>
      <c r="J43" s="315">
        <f>H43+F43+'spł poż'!F43</f>
        <v>0</v>
      </c>
      <c r="K43" s="315">
        <f>I43+G43+'spł poż'!G43</f>
        <v>0</v>
      </c>
    </row>
    <row r="44" spans="1:11" ht="13.5" thickBot="1">
      <c r="A44" s="309" t="s">
        <v>47</v>
      </c>
      <c r="B44" s="310">
        <v>90</v>
      </c>
      <c r="C44" s="177">
        <f>C43-D43</f>
        <v>6500000</v>
      </c>
      <c r="D44" s="177"/>
      <c r="E44" s="178">
        <f t="shared" si="2"/>
        <v>113750.00000000001</v>
      </c>
      <c r="F44" s="178">
        <f>SUM(D41:D44)</f>
        <v>1200000</v>
      </c>
      <c r="G44" s="207">
        <f>SUM(E41:E44)</f>
        <v>507500.00000000006</v>
      </c>
      <c r="H44" s="328"/>
      <c r="I44" s="329"/>
      <c r="J44" s="313">
        <f>H44+'spł poż'!F44</f>
        <v>423949</v>
      </c>
      <c r="K44" s="313">
        <f>I44+G44+'spł poż'!G44</f>
        <v>526257.3225</v>
      </c>
    </row>
    <row r="45" spans="1:11" ht="12.75">
      <c r="A45" s="304" t="s">
        <v>320</v>
      </c>
      <c r="B45" s="305">
        <v>90</v>
      </c>
      <c r="C45" s="167">
        <f>C44-D44</f>
        <v>6500000</v>
      </c>
      <c r="D45" s="167">
        <v>3500000</v>
      </c>
      <c r="E45" s="168">
        <f t="shared" si="2"/>
        <v>113750.00000000001</v>
      </c>
      <c r="F45" s="168"/>
      <c r="G45" s="205"/>
      <c r="H45" s="301"/>
      <c r="I45" s="302"/>
      <c r="J45" s="314"/>
      <c r="K45" s="314">
        <f>I45+G45+'spł poż'!G45</f>
        <v>0</v>
      </c>
    </row>
    <row r="46" spans="1:11" ht="12.75">
      <c r="A46" s="306" t="s">
        <v>321</v>
      </c>
      <c r="B46" s="307">
        <v>90</v>
      </c>
      <c r="C46" s="172">
        <f>C45-D45</f>
        <v>3000000</v>
      </c>
      <c r="D46" s="172"/>
      <c r="E46" s="173">
        <f t="shared" si="2"/>
        <v>52500</v>
      </c>
      <c r="F46" s="173"/>
      <c r="G46" s="206"/>
      <c r="H46" s="301"/>
      <c r="I46" s="302"/>
      <c r="J46" s="315">
        <f>H46+F46+'spł poż'!F46</f>
        <v>0</v>
      </c>
      <c r="K46" s="315">
        <f>I46+G46+'spł poż'!G46</f>
        <v>0</v>
      </c>
    </row>
    <row r="47" spans="1:11" ht="12.75">
      <c r="A47" s="306" t="s">
        <v>322</v>
      </c>
      <c r="B47" s="307">
        <v>90</v>
      </c>
      <c r="C47" s="172">
        <f>C46-D46</f>
        <v>3000000</v>
      </c>
      <c r="D47" s="172">
        <v>3000000</v>
      </c>
      <c r="E47" s="173">
        <f t="shared" si="2"/>
        <v>52500</v>
      </c>
      <c r="F47" s="173"/>
      <c r="G47" s="206"/>
      <c r="H47" s="301"/>
      <c r="I47" s="302"/>
      <c r="J47" s="315">
        <f>H47+F47+'spł poż'!F47</f>
        <v>0</v>
      </c>
      <c r="K47" s="315">
        <f>I47+G47+'spł poż'!G47</f>
        <v>0</v>
      </c>
    </row>
    <row r="48" spans="1:11" ht="13.5" thickBot="1">
      <c r="A48" s="309" t="s">
        <v>323</v>
      </c>
      <c r="B48" s="310">
        <v>90</v>
      </c>
      <c r="C48" s="177">
        <f>C47-D47</f>
        <v>0</v>
      </c>
      <c r="D48" s="177"/>
      <c r="E48" s="178">
        <f t="shared" si="2"/>
        <v>0</v>
      </c>
      <c r="F48" s="178">
        <f>SUM(D45:D48)</f>
        <v>6500000</v>
      </c>
      <c r="G48" s="207">
        <f>SUM(E45:E48)</f>
        <v>218750</v>
      </c>
      <c r="H48" s="328"/>
      <c r="I48" s="329"/>
      <c r="J48" s="313"/>
      <c r="K48" s="313">
        <f>I48+G48+'spł poż'!G48</f>
        <v>218750</v>
      </c>
    </row>
    <row r="49" spans="1:11" ht="12.75">
      <c r="A49" s="330"/>
      <c r="B49" s="331"/>
      <c r="C49" s="330"/>
      <c r="D49" s="332">
        <f>SUM(D9:D48)</f>
        <v>10000000</v>
      </c>
      <c r="F49" s="332">
        <f>SUM(F9:F48)</f>
        <v>10000000</v>
      </c>
      <c r="G49" s="332">
        <f>SUM(G9:G48)</f>
        <v>5972750.000000001</v>
      </c>
      <c r="H49" s="333"/>
      <c r="I49" s="333"/>
      <c r="J49" s="332">
        <f>SUM(J9:J48)</f>
        <v>16511022</v>
      </c>
      <c r="K49" s="334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B1">
      <selection activeCell="J36" sqref="J36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5.851562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338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339</v>
      </c>
      <c r="N5" s="53"/>
      <c r="O5" s="55"/>
      <c r="P5" s="55"/>
      <c r="Q5" s="55"/>
    </row>
    <row r="6" spans="1:17" ht="19.5" customHeight="1" thickBot="1">
      <c r="A6" s="606" t="s">
        <v>355</v>
      </c>
      <c r="B6" s="607"/>
      <c r="C6" s="607" t="s">
        <v>50</v>
      </c>
      <c r="D6" s="607" t="s">
        <v>51</v>
      </c>
      <c r="E6" s="607" t="s">
        <v>52</v>
      </c>
      <c r="F6" s="607" t="s">
        <v>53</v>
      </c>
      <c r="G6" s="607" t="s">
        <v>54</v>
      </c>
      <c r="H6" s="607" t="s">
        <v>55</v>
      </c>
      <c r="I6" s="607" t="s">
        <v>56</v>
      </c>
      <c r="J6" s="607" t="s">
        <v>57</v>
      </c>
      <c r="K6" s="607" t="s">
        <v>58</v>
      </c>
      <c r="L6" s="607" t="s">
        <v>59</v>
      </c>
      <c r="M6" s="607" t="s">
        <v>60</v>
      </c>
      <c r="N6" s="495"/>
      <c r="O6" s="495"/>
      <c r="P6" s="495"/>
      <c r="Q6" s="496"/>
    </row>
    <row r="7" spans="1:17" ht="19.5" customHeight="1" thickBot="1">
      <c r="A7" s="608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494"/>
      <c r="O7" s="494"/>
      <c r="P7" s="494"/>
      <c r="Q7" s="497"/>
    </row>
    <row r="8" spans="1:17" ht="12" customHeight="1" thickBot="1">
      <c r="A8" s="608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493"/>
      <c r="O8" s="493"/>
      <c r="P8" s="493"/>
      <c r="Q8" s="498"/>
    </row>
    <row r="9" spans="1:17" ht="16.5" customHeight="1" thickBot="1">
      <c r="A9" s="667" t="s">
        <v>61</v>
      </c>
      <c r="B9" s="635" t="s">
        <v>62</v>
      </c>
      <c r="C9" s="661"/>
      <c r="D9" s="614" t="s">
        <v>317</v>
      </c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4"/>
    </row>
    <row r="10" spans="1:17" ht="16.5" customHeight="1" thickBot="1">
      <c r="A10" s="668"/>
      <c r="B10" s="662"/>
      <c r="C10" s="663"/>
      <c r="D10" s="614" t="s">
        <v>63</v>
      </c>
      <c r="E10" s="615"/>
      <c r="F10" s="616"/>
      <c r="G10" s="679" t="s">
        <v>64</v>
      </c>
      <c r="H10" s="637"/>
      <c r="I10" s="637"/>
      <c r="J10" s="637"/>
      <c r="K10" s="637"/>
      <c r="L10" s="637"/>
      <c r="M10" s="637"/>
      <c r="N10" s="637"/>
      <c r="O10" s="637"/>
      <c r="P10" s="637"/>
      <c r="Q10" s="638"/>
    </row>
    <row r="11" spans="1:17" ht="18" customHeight="1">
      <c r="A11" s="668"/>
      <c r="B11" s="662"/>
      <c r="C11" s="664"/>
      <c r="D11" s="674">
        <v>2009</v>
      </c>
      <c r="E11" s="670">
        <v>2010</v>
      </c>
      <c r="F11" s="672">
        <v>2011</v>
      </c>
      <c r="G11" s="677" t="s">
        <v>340</v>
      </c>
      <c r="H11" s="676">
        <v>2013</v>
      </c>
      <c r="I11" s="617">
        <v>2014</v>
      </c>
      <c r="J11" s="617">
        <v>2015</v>
      </c>
      <c r="K11" s="617">
        <v>2016</v>
      </c>
      <c r="L11" s="617">
        <v>2017</v>
      </c>
      <c r="M11" s="617">
        <v>2018</v>
      </c>
      <c r="N11" s="617">
        <v>2019</v>
      </c>
      <c r="O11" s="617">
        <v>2020</v>
      </c>
      <c r="P11" s="617">
        <v>2021</v>
      </c>
      <c r="Q11" s="617">
        <v>2022</v>
      </c>
    </row>
    <row r="12" spans="1:17" ht="19.5" customHeight="1" thickBot="1">
      <c r="A12" s="669"/>
      <c r="B12" s="665"/>
      <c r="C12" s="666"/>
      <c r="D12" s="675"/>
      <c r="E12" s="671"/>
      <c r="F12" s="673"/>
      <c r="G12" s="678"/>
      <c r="H12" s="647"/>
      <c r="I12" s="618"/>
      <c r="J12" s="618"/>
      <c r="K12" s="618"/>
      <c r="L12" s="618"/>
      <c r="M12" s="618"/>
      <c r="N12" s="618"/>
      <c r="O12" s="618"/>
      <c r="P12" s="618"/>
      <c r="Q12" s="618"/>
    </row>
    <row r="13" spans="1:17" s="25" customFormat="1" ht="19.5" customHeight="1">
      <c r="A13" s="68">
        <v>1</v>
      </c>
      <c r="B13" s="612" t="s">
        <v>65</v>
      </c>
      <c r="C13" s="613"/>
      <c r="D13" s="74">
        <f>D14+D15</f>
        <v>81699693</v>
      </c>
      <c r="E13" s="79">
        <f>E14+E15</f>
        <v>85095905</v>
      </c>
      <c r="F13" s="258">
        <f>F14+F15</f>
        <v>107182193</v>
      </c>
      <c r="G13" s="424">
        <f>G14+G15</f>
        <v>160837546</v>
      </c>
      <c r="H13" s="432">
        <f aca="true" t="shared" si="0" ref="H13:Q13">H14+H15</f>
        <v>158567924</v>
      </c>
      <c r="I13" s="74">
        <f t="shared" si="0"/>
        <v>128356936</v>
      </c>
      <c r="J13" s="74">
        <f t="shared" si="0"/>
        <v>118214688</v>
      </c>
      <c r="K13" s="74">
        <f t="shared" si="0"/>
        <v>122586180</v>
      </c>
      <c r="L13" s="74">
        <f t="shared" si="0"/>
        <v>126860716</v>
      </c>
      <c r="M13" s="74">
        <f t="shared" si="0"/>
        <v>132174581</v>
      </c>
      <c r="N13" s="74">
        <f t="shared" si="0"/>
        <v>137750256</v>
      </c>
      <c r="O13" s="74">
        <f t="shared" si="0"/>
        <v>142603825</v>
      </c>
      <c r="P13" s="74">
        <f>P14+P15</f>
        <v>148658641</v>
      </c>
      <c r="Q13" s="74">
        <f t="shared" si="0"/>
        <v>153657935</v>
      </c>
    </row>
    <row r="14" spans="1:17" ht="19.5" customHeight="1">
      <c r="A14" s="69" t="s">
        <v>66</v>
      </c>
      <c r="B14" s="621" t="s">
        <v>67</v>
      </c>
      <c r="C14" s="622"/>
      <c r="D14" s="71">
        <v>80665439</v>
      </c>
      <c r="E14" s="81">
        <v>84339995</v>
      </c>
      <c r="F14" s="259">
        <v>101368763</v>
      </c>
      <c r="G14" s="425">
        <v>106305452</v>
      </c>
      <c r="H14" s="433">
        <v>111706973</v>
      </c>
      <c r="I14" s="72">
        <v>116126336</v>
      </c>
      <c r="J14" s="71">
        <v>118175588</v>
      </c>
      <c r="K14" s="71">
        <v>122586180</v>
      </c>
      <c r="L14" s="71">
        <v>126860716</v>
      </c>
      <c r="M14" s="71">
        <v>132174581</v>
      </c>
      <c r="N14" s="71">
        <v>137750256</v>
      </c>
      <c r="O14" s="71">
        <v>142603825</v>
      </c>
      <c r="P14" s="71">
        <v>148658641</v>
      </c>
      <c r="Q14" s="71">
        <v>153657935</v>
      </c>
    </row>
    <row r="15" spans="1:17" ht="19.5" customHeight="1">
      <c r="A15" s="69" t="s">
        <v>68</v>
      </c>
      <c r="B15" s="621" t="s">
        <v>69</v>
      </c>
      <c r="C15" s="622"/>
      <c r="D15" s="71">
        <v>1034254</v>
      </c>
      <c r="E15" s="81">
        <v>755910</v>
      </c>
      <c r="F15" s="259">
        <v>5813430</v>
      </c>
      <c r="G15" s="425">
        <v>54532094</v>
      </c>
      <c r="H15" s="433">
        <v>46860951</v>
      </c>
      <c r="I15" s="72">
        <v>12230600</v>
      </c>
      <c r="J15" s="71">
        <v>39100</v>
      </c>
      <c r="K15" s="71"/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70</v>
      </c>
      <c r="B16" s="83" t="s">
        <v>71</v>
      </c>
      <c r="C16" s="254" t="s">
        <v>72</v>
      </c>
      <c r="D16" s="71">
        <v>197354</v>
      </c>
      <c r="E16" s="81">
        <v>255910</v>
      </c>
      <c r="F16" s="259">
        <v>5637026</v>
      </c>
      <c r="G16" s="425">
        <v>51013900</v>
      </c>
      <c r="H16" s="433">
        <v>44000000</v>
      </c>
      <c r="I16" s="72">
        <v>12000000</v>
      </c>
      <c r="J16" s="72"/>
      <c r="K16" s="72"/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657" t="s">
        <v>73</v>
      </c>
      <c r="C17" s="658"/>
      <c r="D17" s="74">
        <v>71551205</v>
      </c>
      <c r="E17" s="79">
        <v>76029699</v>
      </c>
      <c r="F17" s="258">
        <v>92994815</v>
      </c>
      <c r="G17" s="424">
        <v>102210596</v>
      </c>
      <c r="H17" s="432">
        <v>107701146</v>
      </c>
      <c r="I17" s="74">
        <v>102352832</v>
      </c>
      <c r="J17" s="74">
        <v>103152682</v>
      </c>
      <c r="K17" s="74">
        <v>104042174</v>
      </c>
      <c r="L17" s="74">
        <v>105364353</v>
      </c>
      <c r="M17" s="74">
        <v>106926222</v>
      </c>
      <c r="N17" s="74">
        <v>107869832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66</v>
      </c>
      <c r="B18" s="660" t="s">
        <v>71</v>
      </c>
      <c r="C18" s="255" t="s">
        <v>74</v>
      </c>
      <c r="D18" s="71">
        <v>25712119</v>
      </c>
      <c r="E18" s="81">
        <v>28031630</v>
      </c>
      <c r="F18" s="259">
        <v>32260512</v>
      </c>
      <c r="G18" s="425">
        <v>38263367</v>
      </c>
      <c r="H18" s="433">
        <v>40780828</v>
      </c>
      <c r="I18" s="72">
        <f aca="true" t="shared" si="1" ref="I18:N19">H18*102%</f>
        <v>41596444.56</v>
      </c>
      <c r="J18" s="71">
        <f t="shared" si="1"/>
        <v>42428373.4512</v>
      </c>
      <c r="K18" s="71">
        <f t="shared" si="1"/>
        <v>43276940.920224</v>
      </c>
      <c r="L18" s="71">
        <f t="shared" si="1"/>
        <v>44142479.738628484</v>
      </c>
      <c r="M18" s="71">
        <f t="shared" si="1"/>
        <v>45025329.333401054</v>
      </c>
      <c r="N18" s="71">
        <f t="shared" si="1"/>
        <v>45925835.920069076</v>
      </c>
      <c r="O18" s="71">
        <f>M18*102%</f>
        <v>45925835.920069076</v>
      </c>
      <c r="P18" s="71">
        <f>M18*102%</f>
        <v>45925835.920069076</v>
      </c>
      <c r="Q18" s="71">
        <f>N18*102%</f>
        <v>46844352.638470456</v>
      </c>
    </row>
    <row r="19" spans="1:17" ht="24.75" customHeight="1">
      <c r="A19" s="69" t="s">
        <v>68</v>
      </c>
      <c r="B19" s="660"/>
      <c r="C19" s="255" t="s">
        <v>75</v>
      </c>
      <c r="D19" s="71">
        <v>7561065</v>
      </c>
      <c r="E19" s="81">
        <v>8358243</v>
      </c>
      <c r="F19" s="259">
        <v>9933941</v>
      </c>
      <c r="G19" s="425">
        <v>13373110</v>
      </c>
      <c r="H19" s="433">
        <v>13706915</v>
      </c>
      <c r="I19" s="72">
        <v>13800050</v>
      </c>
      <c r="J19" s="71">
        <v>13900000</v>
      </c>
      <c r="K19" s="71">
        <v>14000000</v>
      </c>
      <c r="L19" s="71">
        <f>K19*102%</f>
        <v>14280000</v>
      </c>
      <c r="M19" s="71">
        <f>L19*102%</f>
        <v>14565600</v>
      </c>
      <c r="N19" s="71">
        <f t="shared" si="1"/>
        <v>14856912</v>
      </c>
      <c r="O19" s="71">
        <f>N19*102%</f>
        <v>15154050.24</v>
      </c>
      <c r="P19" s="71">
        <f>O19*102%</f>
        <v>15457131.244800001</v>
      </c>
      <c r="Q19" s="71">
        <f>P19*102%</f>
        <v>15766273.869696002</v>
      </c>
    </row>
    <row r="20" spans="1:17" ht="20.25" customHeight="1">
      <c r="A20" s="69" t="s">
        <v>76</v>
      </c>
      <c r="B20" s="660"/>
      <c r="C20" s="255" t="s">
        <v>77</v>
      </c>
      <c r="D20" s="71">
        <v>0</v>
      </c>
      <c r="E20" s="81">
        <v>0</v>
      </c>
      <c r="F20" s="265">
        <v>0</v>
      </c>
      <c r="G20" s="426"/>
      <c r="H20" s="434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70</v>
      </c>
      <c r="B21" s="660"/>
      <c r="C21" s="255" t="s">
        <v>78</v>
      </c>
      <c r="D21" s="70">
        <v>0</v>
      </c>
      <c r="E21" s="81">
        <v>0</v>
      </c>
      <c r="F21" s="265">
        <v>0</v>
      </c>
      <c r="G21" s="426">
        <v>0</v>
      </c>
      <c r="H21" s="434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79</v>
      </c>
      <c r="B22" s="660"/>
      <c r="C22" s="255" t="s">
        <v>80</v>
      </c>
      <c r="D22" s="71" t="s">
        <v>81</v>
      </c>
      <c r="E22" s="81" t="s">
        <v>81</v>
      </c>
      <c r="F22" s="259">
        <v>1309987</v>
      </c>
      <c r="G22" s="425">
        <v>15500100</v>
      </c>
      <c r="H22" s="433">
        <f>'Wykaz przedsięwzięć'!J85</f>
        <v>16302880</v>
      </c>
      <c r="I22" s="72">
        <f>'Wykaz przedsięwzięć'!K85</f>
        <v>13694418</v>
      </c>
      <c r="J22" s="72">
        <f>'Wykaz przedsięwzięć'!L85</f>
        <v>9412200</v>
      </c>
      <c r="K22" s="72">
        <f>'Wykaz przedsięwzięć'!M85</f>
        <v>3806400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619" t="s">
        <v>82</v>
      </c>
      <c r="C23" s="620"/>
      <c r="D23" s="77">
        <f aca="true" t="shared" si="2" ref="D23:Q23">D13-D17</f>
        <v>10148488</v>
      </c>
      <c r="E23" s="79">
        <f>E13-E17</f>
        <v>9066206</v>
      </c>
      <c r="F23" s="258">
        <f t="shared" si="2"/>
        <v>14187378</v>
      </c>
      <c r="G23" s="424">
        <f>G13-G17</f>
        <v>58626950</v>
      </c>
      <c r="H23" s="432">
        <f t="shared" si="2"/>
        <v>50866778</v>
      </c>
      <c r="I23" s="74">
        <f t="shared" si="2"/>
        <v>26004104</v>
      </c>
      <c r="J23" s="77">
        <f>J13-J17</f>
        <v>15062006</v>
      </c>
      <c r="K23" s="77">
        <f t="shared" si="2"/>
        <v>18544006</v>
      </c>
      <c r="L23" s="77">
        <f t="shared" si="2"/>
        <v>21496363</v>
      </c>
      <c r="M23" s="77">
        <f t="shared" si="2"/>
        <v>25248359</v>
      </c>
      <c r="N23" s="77">
        <f t="shared" si="2"/>
        <v>29880424</v>
      </c>
      <c r="O23" s="77">
        <f>O13-O17</f>
        <v>31962801</v>
      </c>
      <c r="P23" s="77">
        <f>P13-P17</f>
        <v>36426956</v>
      </c>
      <c r="Q23" s="77">
        <f t="shared" si="2"/>
        <v>38718750</v>
      </c>
    </row>
    <row r="24" spans="1:17" ht="39.75" customHeight="1">
      <c r="A24" s="76">
        <v>4</v>
      </c>
      <c r="B24" s="619" t="s">
        <v>83</v>
      </c>
      <c r="C24" s="620"/>
      <c r="D24" s="78">
        <v>3719761</v>
      </c>
      <c r="E24" s="79">
        <v>1245475</v>
      </c>
      <c r="F24" s="261">
        <v>427077</v>
      </c>
      <c r="G24" s="427">
        <v>4004678</v>
      </c>
      <c r="H24" s="435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66</v>
      </c>
      <c r="B25" s="80" t="s">
        <v>71</v>
      </c>
      <c r="C25" s="256" t="s">
        <v>84</v>
      </c>
      <c r="D25" s="70">
        <v>0</v>
      </c>
      <c r="E25" s="81"/>
      <c r="F25" s="265">
        <v>375492</v>
      </c>
      <c r="G25" s="512">
        <v>3969638</v>
      </c>
      <c r="H25" s="434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619" t="s">
        <v>85</v>
      </c>
      <c r="C26" s="620"/>
      <c r="D26" s="77">
        <v>0</v>
      </c>
      <c r="E26" s="79">
        <v>0</v>
      </c>
      <c r="F26" s="258">
        <v>0</v>
      </c>
      <c r="G26" s="424">
        <v>0</v>
      </c>
      <c r="H26" s="432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619" t="s">
        <v>86</v>
      </c>
      <c r="C27" s="620"/>
      <c r="D27" s="77">
        <f aca="true" t="shared" si="3" ref="D27:Q27">D23+D24+D26</f>
        <v>13868249</v>
      </c>
      <c r="E27" s="79">
        <f>E23+E24+E26</f>
        <v>10311681</v>
      </c>
      <c r="F27" s="258">
        <f>F23+F24+F26</f>
        <v>14614455</v>
      </c>
      <c r="G27" s="509">
        <f>G23+G24+G26</f>
        <v>62631628</v>
      </c>
      <c r="H27" s="436">
        <f>H23+H24+H26</f>
        <v>50866778</v>
      </c>
      <c r="I27" s="74">
        <f t="shared" si="3"/>
        <v>26004104</v>
      </c>
      <c r="J27" s="77">
        <f>J23+J24+J26</f>
        <v>15062006</v>
      </c>
      <c r="K27" s="77">
        <f t="shared" si="3"/>
        <v>18544006</v>
      </c>
      <c r="L27" s="77">
        <f t="shared" si="3"/>
        <v>21496363</v>
      </c>
      <c r="M27" s="77">
        <f t="shared" si="3"/>
        <v>25248359</v>
      </c>
      <c r="N27" s="77">
        <f t="shared" si="3"/>
        <v>29880424</v>
      </c>
      <c r="O27" s="77">
        <f t="shared" si="3"/>
        <v>31962801</v>
      </c>
      <c r="P27" s="77">
        <f>P23+P24+P26</f>
        <v>36426956</v>
      </c>
      <c r="Q27" s="77">
        <f t="shared" si="3"/>
        <v>38718750</v>
      </c>
    </row>
    <row r="28" spans="1:17" ht="20.25" customHeight="1">
      <c r="A28" s="76">
        <v>7</v>
      </c>
      <c r="B28" s="619" t="s">
        <v>87</v>
      </c>
      <c r="C28" s="620"/>
      <c r="D28" s="78">
        <f aca="true" t="shared" si="4" ref="D28:Q28">D29+D33</f>
        <v>4502192</v>
      </c>
      <c r="E28" s="79">
        <f>E29+E33</f>
        <v>9065858</v>
      </c>
      <c r="F28" s="261">
        <f t="shared" si="4"/>
        <v>6942225</v>
      </c>
      <c r="G28" s="427">
        <f>G29+G33</f>
        <v>9614930</v>
      </c>
      <c r="H28" s="435">
        <f t="shared" si="4"/>
        <v>11185093</v>
      </c>
      <c r="I28" s="79">
        <f t="shared" si="4"/>
        <v>10604604</v>
      </c>
      <c r="J28" s="78">
        <f t="shared" si="4"/>
        <v>9362256</v>
      </c>
      <c r="K28" s="78">
        <f t="shared" si="4"/>
        <v>9180256</v>
      </c>
      <c r="L28" s="78">
        <f t="shared" si="4"/>
        <v>9496363</v>
      </c>
      <c r="M28" s="78">
        <f t="shared" si="4"/>
        <v>8248359.26</v>
      </c>
      <c r="N28" s="78">
        <f t="shared" si="4"/>
        <v>9537923.540000001</v>
      </c>
      <c r="O28" s="78">
        <f t="shared" si="4"/>
        <v>7962801.43</v>
      </c>
      <c r="P28" s="78">
        <f>P29+P33</f>
        <v>6426956.3225</v>
      </c>
      <c r="Q28" s="78">
        <f t="shared" si="4"/>
        <v>6718750</v>
      </c>
    </row>
    <row r="29" spans="1:18" s="19" customFormat="1" ht="36" customHeight="1">
      <c r="A29" s="82" t="s">
        <v>66</v>
      </c>
      <c r="B29" s="653" t="s">
        <v>88</v>
      </c>
      <c r="C29" s="642"/>
      <c r="D29" s="72">
        <v>3463314</v>
      </c>
      <c r="E29" s="81">
        <v>6940085</v>
      </c>
      <c r="F29" s="259">
        <v>4551585</v>
      </c>
      <c r="G29" s="425">
        <f>SUM(G30:G32)</f>
        <v>6935040</v>
      </c>
      <c r="H29" s="433">
        <f>SUM(H30:H32)</f>
        <v>7316899</v>
      </c>
      <c r="I29" s="72">
        <f aca="true" t="shared" si="5" ref="I29:Q29">SUM(I30:I32)</f>
        <v>7156453</v>
      </c>
      <c r="J29" s="72">
        <f t="shared" si="5"/>
        <v>6200000</v>
      </c>
      <c r="K29" s="72">
        <f t="shared" si="5"/>
        <v>6300000</v>
      </c>
      <c r="L29" s="72">
        <f t="shared" si="5"/>
        <v>6901170</v>
      </c>
      <c r="M29" s="72">
        <f t="shared" si="5"/>
        <v>6062028</v>
      </c>
      <c r="N29" s="72">
        <f t="shared" si="5"/>
        <v>7850523</v>
      </c>
      <c r="O29" s="72">
        <f t="shared" si="5"/>
        <v>6800000</v>
      </c>
      <c r="P29" s="72">
        <f>SUM(P30:P32)</f>
        <v>5723949</v>
      </c>
      <c r="Q29" s="72">
        <f t="shared" si="5"/>
        <v>6500000</v>
      </c>
      <c r="R29" s="23"/>
    </row>
    <row r="30" spans="1:18" s="19" customFormat="1" ht="19.5" customHeight="1">
      <c r="A30" s="82"/>
      <c r="B30" s="659" t="s">
        <v>71</v>
      </c>
      <c r="C30" s="257" t="s">
        <v>89</v>
      </c>
      <c r="D30" s="72">
        <v>2963314</v>
      </c>
      <c r="E30" s="81">
        <v>3340085</v>
      </c>
      <c r="F30" s="259">
        <v>2141585</v>
      </c>
      <c r="G30" s="425">
        <f>Arkusz5!J8</f>
        <v>3535040</v>
      </c>
      <c r="H30" s="433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659"/>
      <c r="C31" s="257" t="s">
        <v>90</v>
      </c>
      <c r="D31" s="72">
        <v>500000</v>
      </c>
      <c r="E31" s="81">
        <v>3600000</v>
      </c>
      <c r="F31" s="259">
        <v>410000</v>
      </c>
      <c r="G31" s="425">
        <v>400000</v>
      </c>
      <c r="H31" s="433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659"/>
      <c r="C32" s="257" t="s">
        <v>91</v>
      </c>
      <c r="D32" s="72"/>
      <c r="E32" s="81"/>
      <c r="F32" s="259">
        <v>2000000</v>
      </c>
      <c r="G32" s="425">
        <f>'spł obligacji'!J9</f>
        <v>3000000</v>
      </c>
      <c r="H32" s="433">
        <f>'spł obligacji'!J13</f>
        <v>3000000</v>
      </c>
      <c r="I32" s="72">
        <f>'spł obligacji'!J17</f>
        <v>3000000</v>
      </c>
      <c r="J32" s="72">
        <f>'spł obligacji'!J21</f>
        <v>3000000</v>
      </c>
      <c r="K32" s="72">
        <f>'spł obligacji'!J25</f>
        <v>3000000</v>
      </c>
      <c r="L32" s="72">
        <f>'spł obligacji'!J29</f>
        <v>3000000</v>
      </c>
      <c r="M32" s="72">
        <f>'spł obligacji'!J33</f>
        <v>5000000</v>
      </c>
      <c r="N32" s="72">
        <f>'spł obligacji'!J37</f>
        <v>6600000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68</v>
      </c>
      <c r="B33" s="621" t="s">
        <v>92</v>
      </c>
      <c r="C33" s="622"/>
      <c r="D33" s="71">
        <v>1038878</v>
      </c>
      <c r="E33" s="81">
        <v>2125773</v>
      </c>
      <c r="F33" s="259">
        <v>2390640</v>
      </c>
      <c r="G33" s="425">
        <v>2679890</v>
      </c>
      <c r="H33" s="433">
        <f>'spł obligacji'!K13+Arkusz5!K12+146250</f>
        <v>3868194</v>
      </c>
      <c r="I33" s="72">
        <f>'spł obligacji'!K17+Arkusz5!K16+123750</f>
        <v>3448151</v>
      </c>
      <c r="J33" s="71">
        <f>'spł obligacji'!K21+Arkusz5!K20+101250</f>
        <v>3162256</v>
      </c>
      <c r="K33" s="71">
        <f>'spł obligacji'!K25+Arkusz5!K24+78750</f>
        <v>2880256.0000000005</v>
      </c>
      <c r="L33" s="71">
        <f>'spł obligacji'!K29+Arkusz5!K28+52500</f>
        <v>2595193.0000000005</v>
      </c>
      <c r="M33" s="71">
        <f>'spł obligacji'!K33+Arkusz5!K32</f>
        <v>2186331.2600000002</v>
      </c>
      <c r="N33" s="71">
        <f>'spł obligacji'!K37+Arkusz5!K36</f>
        <v>1687400.5400000003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619" t="s">
        <v>93</v>
      </c>
      <c r="C34" s="620"/>
      <c r="D34" s="77">
        <v>0</v>
      </c>
      <c r="E34" s="79">
        <v>40000</v>
      </c>
      <c r="F34" s="258">
        <v>0</v>
      </c>
      <c r="G34" s="424">
        <v>0</v>
      </c>
      <c r="H34" s="432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657" t="s">
        <v>206</v>
      </c>
      <c r="C35" s="658"/>
      <c r="D35" s="74">
        <f aca="true" t="shared" si="6" ref="D35:M35">D27-D28-D34</f>
        <v>9366057</v>
      </c>
      <c r="E35" s="79">
        <f>E27-E28-E34</f>
        <v>1205823</v>
      </c>
      <c r="F35" s="258">
        <f>F27-F28-F34</f>
        <v>7672230</v>
      </c>
      <c r="G35" s="424">
        <f>G27-G28-G34</f>
        <v>53016698</v>
      </c>
      <c r="H35" s="432">
        <f>H27-H28-H34</f>
        <v>39681685</v>
      </c>
      <c r="I35" s="74">
        <f t="shared" si="6"/>
        <v>15399500</v>
      </c>
      <c r="J35" s="74">
        <f t="shared" si="6"/>
        <v>5699750</v>
      </c>
      <c r="K35" s="74">
        <f t="shared" si="6"/>
        <v>9363750</v>
      </c>
      <c r="L35" s="74">
        <f t="shared" si="6"/>
        <v>12000000</v>
      </c>
      <c r="M35" s="74">
        <f t="shared" si="6"/>
        <v>16999999.740000002</v>
      </c>
      <c r="N35" s="74">
        <f>N27-N28-N34</f>
        <v>20342500.46</v>
      </c>
      <c r="O35" s="74">
        <f>O27-O28-O34</f>
        <v>23999999.57</v>
      </c>
      <c r="P35" s="74">
        <f>P27-P28-P34</f>
        <v>29999999.677500002</v>
      </c>
      <c r="Q35" s="74">
        <f>Q27-Q28-Q34</f>
        <v>32000000</v>
      </c>
    </row>
    <row r="36" spans="1:17" ht="20.25" customHeight="1">
      <c r="A36" s="73">
        <v>10</v>
      </c>
      <c r="B36" s="657" t="s">
        <v>94</v>
      </c>
      <c r="C36" s="658"/>
      <c r="D36" s="74">
        <v>33260582</v>
      </c>
      <c r="E36" s="79">
        <v>9778746</v>
      </c>
      <c r="F36" s="258">
        <v>17267552</v>
      </c>
      <c r="G36" s="424">
        <v>69916698</v>
      </c>
      <c r="H36" s="432">
        <v>39681685</v>
      </c>
      <c r="I36" s="74">
        <f>I37</f>
        <v>15399500</v>
      </c>
      <c r="J36" s="74">
        <v>5</v>
      </c>
      <c r="K36" s="74">
        <v>9363750</v>
      </c>
      <c r="L36" s="74">
        <v>12000000</v>
      </c>
      <c r="M36" s="74">
        <v>17000000</v>
      </c>
      <c r="N36" s="74">
        <v>20342500</v>
      </c>
      <c r="O36" s="74">
        <v>24000000</v>
      </c>
      <c r="P36" s="74">
        <v>30000000</v>
      </c>
      <c r="Q36" s="74">
        <v>32000000</v>
      </c>
    </row>
    <row r="37" spans="1:17" ht="36" customHeight="1">
      <c r="A37" s="417" t="s">
        <v>66</v>
      </c>
      <c r="B37" s="418" t="s">
        <v>71</v>
      </c>
      <c r="C37" s="419" t="s">
        <v>95</v>
      </c>
      <c r="D37" s="420" t="s">
        <v>81</v>
      </c>
      <c r="E37" s="421" t="s">
        <v>81</v>
      </c>
      <c r="F37" s="422">
        <v>7674671</v>
      </c>
      <c r="G37" s="428">
        <v>51248890</v>
      </c>
      <c r="H37" s="437">
        <f>'Wykaz przedsięwzięć'!J15</f>
        <v>37157356</v>
      </c>
      <c r="I37" s="423">
        <f>'Wykaz przedsięwzięć'!K16</f>
        <v>15399500</v>
      </c>
      <c r="J37" s="423">
        <f>'Wykaz przedsięwzięć'!L16</f>
        <v>3306000</v>
      </c>
      <c r="K37" s="423">
        <f>'Wykaz przedsięwzięć'!M16</f>
        <v>9085000</v>
      </c>
      <c r="L37" s="423">
        <f>'Wykaz przedsięwzięć'!N16</f>
        <v>11400000</v>
      </c>
      <c r="M37" s="423"/>
      <c r="N37" s="423"/>
      <c r="O37" s="423"/>
      <c r="P37" s="423"/>
      <c r="Q37" s="423"/>
    </row>
    <row r="38" spans="1:17" ht="15">
      <c r="A38" s="84"/>
      <c r="B38" s="85"/>
      <c r="C38" s="86"/>
      <c r="D38" s="87"/>
      <c r="E38" s="160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30" customHeight="1">
      <c r="A39" s="84"/>
      <c r="B39" s="85"/>
      <c r="C39" s="86"/>
      <c r="D39" s="87"/>
      <c r="E39" s="160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30" customHeight="1">
      <c r="A40" s="84"/>
      <c r="B40" s="85"/>
      <c r="C40" s="86"/>
      <c r="D40" s="87"/>
      <c r="E40" s="160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91.5" customHeight="1">
      <c r="A41" s="84"/>
      <c r="B41" s="85"/>
      <c r="C41" s="86"/>
      <c r="D41" s="87"/>
      <c r="E41" s="160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38.25" customHeight="1">
      <c r="A42" s="84"/>
      <c r="B42" s="85"/>
      <c r="C42" s="86"/>
      <c r="D42" s="87"/>
      <c r="E42" s="160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27" customHeight="1">
      <c r="A43" s="84"/>
      <c r="B43" s="85"/>
      <c r="C43" s="86"/>
      <c r="D43" s="87"/>
      <c r="E43" s="160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28.5" customHeight="1">
      <c r="A44" s="84"/>
      <c r="B44" s="85"/>
      <c r="C44" s="86"/>
      <c r="D44" s="87"/>
      <c r="E44" s="160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5">
      <c r="A45" s="84"/>
      <c r="B45" s="85"/>
      <c r="C45" s="86"/>
      <c r="D45" s="87"/>
      <c r="E45" s="160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8" customHeight="1">
      <c r="A46" s="84"/>
      <c r="B46" s="85"/>
      <c r="C46" s="86"/>
      <c r="D46" s="87"/>
      <c r="E46" s="160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6.75" customHeight="1" thickBot="1">
      <c r="A47" s="84"/>
      <c r="B47" s="85"/>
      <c r="C47" s="86"/>
      <c r="D47" s="87"/>
      <c r="E47" s="160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7.25" customHeight="1" thickBot="1">
      <c r="A48" s="632" t="s">
        <v>61</v>
      </c>
      <c r="B48" s="649" t="s">
        <v>62</v>
      </c>
      <c r="C48" s="649"/>
      <c r="D48" s="614" t="s">
        <v>317</v>
      </c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4"/>
    </row>
    <row r="49" spans="1:17" ht="17.25" customHeight="1" thickBot="1">
      <c r="A49" s="632"/>
      <c r="B49" s="649"/>
      <c r="C49" s="649"/>
      <c r="D49" s="614" t="s">
        <v>63</v>
      </c>
      <c r="E49" s="615"/>
      <c r="F49" s="639"/>
      <c r="G49" s="635" t="s">
        <v>64</v>
      </c>
      <c r="H49" s="636"/>
      <c r="I49" s="636"/>
      <c r="J49" s="637"/>
      <c r="K49" s="637"/>
      <c r="L49" s="637"/>
      <c r="M49" s="637"/>
      <c r="N49" s="637"/>
      <c r="O49" s="637"/>
      <c r="P49" s="637"/>
      <c r="Q49" s="638"/>
    </row>
    <row r="50" spans="1:17" ht="13.5" customHeight="1" thickBot="1">
      <c r="A50" s="632"/>
      <c r="B50" s="649"/>
      <c r="C50" s="614"/>
      <c r="D50" s="648">
        <v>2009</v>
      </c>
      <c r="E50" s="610">
        <v>2010</v>
      </c>
      <c r="F50" s="623">
        <v>2011</v>
      </c>
      <c r="G50" s="625" t="s">
        <v>340</v>
      </c>
      <c r="H50" s="647">
        <v>2013</v>
      </c>
      <c r="I50" s="618">
        <v>2014</v>
      </c>
      <c r="J50" s="618">
        <v>2015</v>
      </c>
      <c r="K50" s="618">
        <v>2016</v>
      </c>
      <c r="L50" s="618">
        <v>2017</v>
      </c>
      <c r="M50" s="618">
        <v>2018</v>
      </c>
      <c r="N50" s="618">
        <v>2019</v>
      </c>
      <c r="O50" s="618">
        <v>2020</v>
      </c>
      <c r="P50" s="618">
        <v>2021</v>
      </c>
      <c r="Q50" s="618">
        <v>2022</v>
      </c>
    </row>
    <row r="51" spans="1:17" ht="24.75" customHeight="1" thickBot="1">
      <c r="A51" s="632"/>
      <c r="B51" s="649"/>
      <c r="C51" s="614"/>
      <c r="D51" s="618"/>
      <c r="E51" s="611"/>
      <c r="F51" s="624"/>
      <c r="G51" s="625"/>
      <c r="H51" s="647"/>
      <c r="I51" s="618"/>
      <c r="J51" s="618"/>
      <c r="K51" s="618"/>
      <c r="L51" s="618"/>
      <c r="M51" s="618"/>
      <c r="N51" s="618"/>
      <c r="O51" s="618"/>
      <c r="P51" s="618"/>
      <c r="Q51" s="618"/>
    </row>
    <row r="52" spans="1:17" ht="27" customHeight="1">
      <c r="A52" s="76">
        <v>11</v>
      </c>
      <c r="B52" s="619" t="s">
        <v>96</v>
      </c>
      <c r="C52" s="620"/>
      <c r="D52" s="77">
        <v>25140000</v>
      </c>
      <c r="E52" s="79">
        <v>9000000</v>
      </c>
      <c r="F52" s="258">
        <f>SUM(F53:F56)</f>
        <v>13600000</v>
      </c>
      <c r="G52" s="509">
        <f>SUM(G53:G56)</f>
        <v>16900000</v>
      </c>
      <c r="H52" s="505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9"/>
      <c r="B53" s="654" t="s">
        <v>71</v>
      </c>
      <c r="C53" s="257" t="s">
        <v>89</v>
      </c>
      <c r="D53" s="71">
        <v>6330000</v>
      </c>
      <c r="E53" s="72"/>
      <c r="F53" s="259">
        <v>2100000</v>
      </c>
      <c r="G53" s="510"/>
      <c r="H53" s="505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7"/>
      <c r="B54" s="655"/>
      <c r="C54" s="257" t="s">
        <v>90</v>
      </c>
      <c r="D54" s="71">
        <v>4810000</v>
      </c>
      <c r="E54" s="72"/>
      <c r="F54" s="259">
        <v>0</v>
      </c>
      <c r="G54" s="510">
        <v>10000000</v>
      </c>
      <c r="H54" s="505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7"/>
      <c r="B55" s="655"/>
      <c r="C55" s="257" t="s">
        <v>207</v>
      </c>
      <c r="D55" s="71">
        <v>14000000</v>
      </c>
      <c r="E55" s="72">
        <v>9000000</v>
      </c>
      <c r="F55" s="259">
        <v>7000000</v>
      </c>
      <c r="G55" s="510"/>
      <c r="H55" s="505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7"/>
      <c r="B56" s="656"/>
      <c r="C56" s="257" t="s">
        <v>208</v>
      </c>
      <c r="D56" s="71"/>
      <c r="E56" s="72"/>
      <c r="F56" s="259">
        <v>4500000</v>
      </c>
      <c r="G56" s="510">
        <v>6900000</v>
      </c>
      <c r="H56" s="505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66</v>
      </c>
      <c r="B57" s="644" t="s">
        <v>98</v>
      </c>
      <c r="C57" s="650"/>
      <c r="D57" s="71">
        <v>3719761</v>
      </c>
      <c r="E57" s="72">
        <v>1245475</v>
      </c>
      <c r="F57" s="259">
        <v>427077</v>
      </c>
      <c r="G57" s="510">
        <v>4004678</v>
      </c>
      <c r="H57" s="505"/>
      <c r="I57" s="74"/>
      <c r="J57" s="77"/>
      <c r="K57" s="77"/>
      <c r="L57" s="77"/>
      <c r="M57" s="77"/>
      <c r="N57" s="77"/>
      <c r="O57" s="77"/>
      <c r="P57" s="77"/>
      <c r="Q57" s="77"/>
      <c r="R57" s="276"/>
    </row>
    <row r="58" spans="1:18" ht="21" customHeight="1">
      <c r="A58" s="76" t="s">
        <v>68</v>
      </c>
      <c r="B58" s="644" t="s">
        <v>99</v>
      </c>
      <c r="C58" s="650"/>
      <c r="D58" s="71"/>
      <c r="E58" s="72"/>
      <c r="F58" s="259"/>
      <c r="G58" s="510"/>
      <c r="H58" s="505"/>
      <c r="I58" s="74"/>
      <c r="J58" s="77"/>
      <c r="K58" s="77"/>
      <c r="L58" s="77"/>
      <c r="M58" s="77"/>
      <c r="N58" s="77"/>
      <c r="O58" s="77"/>
      <c r="P58" s="77"/>
      <c r="Q58" s="77"/>
      <c r="R58" s="276"/>
    </row>
    <row r="59" spans="1:18" ht="29.25" customHeight="1">
      <c r="A59" s="90">
        <v>12</v>
      </c>
      <c r="B59" s="630" t="s">
        <v>100</v>
      </c>
      <c r="C59" s="631"/>
      <c r="D59" s="156">
        <f aca="true" t="shared" si="7" ref="D59:Q59">D35-D36+D52</f>
        <v>1245475</v>
      </c>
      <c r="E59" s="157">
        <f t="shared" si="7"/>
        <v>427077</v>
      </c>
      <c r="F59" s="260">
        <f t="shared" si="7"/>
        <v>4004678</v>
      </c>
      <c r="G59" s="511">
        <f t="shared" si="7"/>
        <v>0</v>
      </c>
      <c r="H59" s="506">
        <f t="shared" si="7"/>
        <v>0</v>
      </c>
      <c r="I59" s="91">
        <f>I35-I36+I52</f>
        <v>0</v>
      </c>
      <c r="J59" s="91">
        <f t="shared" si="7"/>
        <v>5699745</v>
      </c>
      <c r="K59" s="91">
        <f t="shared" si="7"/>
        <v>0</v>
      </c>
      <c r="L59" s="91">
        <f t="shared" si="7"/>
        <v>0</v>
      </c>
      <c r="M59" s="91">
        <f>M35-M36+M52</f>
        <v>-0.25999999791383743</v>
      </c>
      <c r="N59" s="91">
        <f t="shared" si="7"/>
        <v>0.46000000089406967</v>
      </c>
      <c r="O59" s="91">
        <f t="shared" si="7"/>
        <v>-0.4299999997019768</v>
      </c>
      <c r="P59" s="91">
        <f t="shared" si="7"/>
        <v>-0.32249999791383743</v>
      </c>
      <c r="Q59" s="91">
        <f t="shared" si="7"/>
        <v>0</v>
      </c>
      <c r="R59" s="277"/>
    </row>
    <row r="60" spans="1:18" ht="22.5" customHeight="1">
      <c r="A60" s="92">
        <v>13</v>
      </c>
      <c r="B60" s="651" t="s">
        <v>101</v>
      </c>
      <c r="C60" s="652"/>
      <c r="D60" s="78">
        <f>'Prognoza długu'!C10</f>
        <v>45737732</v>
      </c>
      <c r="E60" s="79">
        <f>'Prognoza długu'!D10</f>
        <v>47797647</v>
      </c>
      <c r="F60" s="261">
        <f>'Prognoza długu'!E10</f>
        <v>56846062</v>
      </c>
      <c r="G60" s="512">
        <f>'Prognoza długu'!F10</f>
        <v>66811022</v>
      </c>
      <c r="H60" s="507">
        <f>'Prognoza długu'!G10</f>
        <v>59494123</v>
      </c>
      <c r="I60" s="79">
        <f>'Prognoza długu'!H10</f>
        <v>52337670</v>
      </c>
      <c r="J60" s="79">
        <f>'Prognoza długu'!I10</f>
        <v>46137670</v>
      </c>
      <c r="K60" s="78">
        <f>'Prognoza długu'!J10</f>
        <v>39837670</v>
      </c>
      <c r="L60" s="78">
        <f>'Prognoza długu'!K10</f>
        <v>32936500</v>
      </c>
      <c r="M60" s="78">
        <f>'Prognoza długu'!L10</f>
        <v>26874472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278"/>
    </row>
    <row r="61" spans="1:18" ht="65.25" customHeight="1">
      <c r="A61" s="628"/>
      <c r="B61" s="629" t="s">
        <v>71</v>
      </c>
      <c r="C61" s="255" t="s">
        <v>102</v>
      </c>
      <c r="D61" s="77">
        <v>0</v>
      </c>
      <c r="E61" s="74">
        <v>0</v>
      </c>
      <c r="F61" s="503">
        <v>2100000</v>
      </c>
      <c r="G61" s="513">
        <v>2050000</v>
      </c>
      <c r="H61" s="444"/>
      <c r="I61" s="39"/>
      <c r="J61" s="39"/>
      <c r="K61" s="39"/>
      <c r="L61" s="39"/>
      <c r="M61" s="39"/>
      <c r="N61" s="39"/>
      <c r="O61" s="39"/>
      <c r="P61" s="39"/>
      <c r="Q61" s="74">
        <v>0</v>
      </c>
      <c r="R61" s="276"/>
    </row>
    <row r="62" spans="1:17" ht="87.75" customHeight="1">
      <c r="A62" s="628"/>
      <c r="B62" s="629"/>
      <c r="C62" s="255" t="s">
        <v>221</v>
      </c>
      <c r="D62" s="77">
        <v>0</v>
      </c>
      <c r="E62" s="74">
        <v>0</v>
      </c>
      <c r="F62" s="503">
        <v>0</v>
      </c>
      <c r="G62" s="513">
        <v>50000</v>
      </c>
      <c r="H62" s="444"/>
      <c r="I62" s="39"/>
      <c r="J62" s="39"/>
      <c r="K62" s="39"/>
      <c r="L62" s="39"/>
      <c r="M62" s="39"/>
      <c r="N62" s="39"/>
      <c r="O62" s="39"/>
      <c r="P62" s="39"/>
      <c r="Q62" s="74">
        <v>0</v>
      </c>
    </row>
    <row r="63" spans="1:17" ht="66" customHeight="1">
      <c r="A63" s="92">
        <v>14</v>
      </c>
      <c r="B63" s="626" t="s">
        <v>103</v>
      </c>
      <c r="C63" s="627"/>
      <c r="D63" s="77">
        <v>0</v>
      </c>
      <c r="E63" s="74">
        <v>0</v>
      </c>
      <c r="F63" s="258">
        <v>0</v>
      </c>
      <c r="G63" s="509">
        <v>0</v>
      </c>
      <c r="H63" s="505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2">
        <v>15</v>
      </c>
      <c r="B64" s="626" t="s">
        <v>210</v>
      </c>
      <c r="C64" s="627"/>
      <c r="D64" s="93">
        <f>D28/D13*100</f>
        <v>5.510659630018439</v>
      </c>
      <c r="E64" s="158">
        <f>E28/E13*100</f>
        <v>10.653694792951553</v>
      </c>
      <c r="F64" s="504">
        <f>F28/F13*100</f>
        <v>6.477032056994767</v>
      </c>
      <c r="G64" s="514">
        <f>G28/G13*100</f>
        <v>5.978038237415038</v>
      </c>
      <c r="H64" s="438">
        <f>H28/H13*100</f>
        <v>7.053818147988114</v>
      </c>
      <c r="I64" s="158"/>
      <c r="J64" s="158"/>
      <c r="K64" s="93"/>
      <c r="L64" s="93"/>
      <c r="M64" s="93"/>
      <c r="N64" s="93"/>
      <c r="O64" s="93"/>
      <c r="P64" s="93"/>
      <c r="Q64" s="93"/>
    </row>
    <row r="65" spans="1:17" ht="39" customHeight="1">
      <c r="A65" s="92">
        <v>16</v>
      </c>
      <c r="B65" s="626" t="s">
        <v>209</v>
      </c>
      <c r="C65" s="627"/>
      <c r="D65" s="93">
        <f>D60/D13*100</f>
        <v>55.98274647127499</v>
      </c>
      <c r="E65" s="158">
        <f>E60/E13*100</f>
        <v>56.16915056018266</v>
      </c>
      <c r="F65" s="262">
        <f>F60/F13*100</f>
        <v>53.03685286603531</v>
      </c>
      <c r="G65" s="514">
        <f>G60/G13*100</f>
        <v>41.53944378136682</v>
      </c>
      <c r="H65" s="438">
        <f>H60/H13*100</f>
        <v>37.519645524273876</v>
      </c>
      <c r="I65" s="158"/>
      <c r="J65" s="158"/>
      <c r="K65" s="93"/>
      <c r="L65" s="93"/>
      <c r="M65" s="93"/>
      <c r="N65" s="93"/>
      <c r="O65" s="93"/>
      <c r="P65" s="93"/>
      <c r="Q65" s="93"/>
    </row>
    <row r="66" spans="1:17" ht="66.75" customHeight="1">
      <c r="A66" s="94">
        <v>17</v>
      </c>
      <c r="B66" s="626" t="s">
        <v>104</v>
      </c>
      <c r="C66" s="627"/>
      <c r="D66" s="253" t="s">
        <v>70</v>
      </c>
      <c r="E66" s="159">
        <v>0.1911</v>
      </c>
      <c r="F66" s="263">
        <v>0.1292</v>
      </c>
      <c r="G66" s="515">
        <f>1/3*((D14+D16-'Prognoza długu'!C25)/WPF!D13+(WPF!E14+WPF!E16-'Prognoza długu'!D25)/WPF!E13+(WPF!F14+WPF!F16-'Prognoza długu'!E25)/WPF!F13)</f>
        <v>0.09511953124012595</v>
      </c>
      <c r="H66" s="439">
        <f>1/3*((E14+E16-'Prognoza długu'!D25)/WPF!E13+(WPF!F14+WPF!F16-'Prognoza długu'!E25)/WPF!F13+(WPF!G14+WPF!G16-'Prognoza długu'!F25)/WPF!G13)</f>
        <v>0.1700250337534257</v>
      </c>
      <c r="I66" s="159">
        <f>1/3*((F14+F16-'Prognoza długu'!E25)/WPF!F13+(WPF!G14+WPF!G16-'Prognoza długu'!F25)/WPF!G13+(WPF!H14+WPF!H16-'Prognoza długu'!G25)/WPF!H13)</f>
        <v>0.23758076022806418</v>
      </c>
      <c r="J66" s="159">
        <f>1/3*((G14+G16-'Prognoza długu'!F25)/WPF!G13+(WPF!H14+WPF!H16-'Prognoza długu'!G25)/WPF!H13+(WPF!I14+WPF!I16-'Prognoza długu'!H25)/WPF!I13)</f>
        <v>0.2594191447142955</v>
      </c>
      <c r="K66" s="253">
        <f>1/3*((H14+H16-'Prognoza długu'!G25)/WPF!H13+(WPF!I14+WPF!I16-'Prognoza długu'!H25)/WPF!I13+(WPF!J14+WPF!J16-'Prognoza długu'!I25)/WPF!J13)</f>
        <v>0.1842049422724012</v>
      </c>
      <c r="L66" s="253">
        <f>1/3*((I14+I16-'Prognoza długu'!H25)/WPF!I13+(WPF!J14+WPF!J16-'Prognoza długu'!I25)/WPF!J13+(WPF!K14+WPF!K16-'Prognoza długu'!J25)/WPF!K13)</f>
        <v>0.13401356528632274</v>
      </c>
      <c r="M66" s="253">
        <f>1/3*((J14+J16-'Prognoza długu'!I25)/WPF!J13+(WPF!K14+WPF!K16-'Prognoza długu'!J25)/WPF!K13+(WPF!L14+WPF!L16-'Prognoza długu'!K25)/WPF!L13)</f>
        <v>0.1257001360361344</v>
      </c>
      <c r="N66" s="253">
        <f>1/3*((K14+K16-'Prognoza długu'!J25)/WPF!K13+(WPF!L14+WPF!L16-'Prognoza długu'!K25)/WPF!L13+(WPF!M14+WPF!M16-'Prognoza długu'!L25)/WPF!M13)</f>
        <v>0.15041684400497735</v>
      </c>
      <c r="O66" s="253">
        <f>1/3*((L14+L16-'Prognoza długu'!K25)/WPF!L13+(WPF!M14+WPF!M16-'Prognoza długu'!L25)/WPF!M13+(WPF!N14+WPF!N16-'Prognoza długu'!M25)/WPF!N13)</f>
        <v>0.1760469147843906</v>
      </c>
      <c r="P66" s="253">
        <f>1/3*((M14+M16-'Prognoza długu'!L25)/WPF!M13+(WPF!N14+WPF!N16-'Prognoza długu'!M25)/WPF!N13+(WPF!O14+WPF!O16-'Prognoza długu'!N25)/WPF!O13)</f>
        <v>0.19837740496791958</v>
      </c>
      <c r="Q66" s="253">
        <f>1/3*((N14+N16-'Prognoza długu'!M25)/WPF!N13+(WPF!O14+WPF!O16-'Prognoza długu'!N25)/WPF!O13+(WPF!P14+WPF!P16-'Prognoza długu'!O25)/WPF!P13)</f>
        <v>0.2203197472497175</v>
      </c>
    </row>
    <row r="67" spans="1:17" ht="33.75" customHeight="1">
      <c r="A67" s="94">
        <v>18</v>
      </c>
      <c r="B67" s="626" t="s">
        <v>105</v>
      </c>
      <c r="C67" s="627"/>
      <c r="D67" s="95">
        <f aca="true" t="shared" si="8" ref="D67:O67">D28/D13</f>
        <v>0.055106596300184385</v>
      </c>
      <c r="E67" s="159">
        <f t="shared" si="8"/>
        <v>0.10653694792951553</v>
      </c>
      <c r="F67" s="263">
        <f t="shared" si="8"/>
        <v>0.06477032056994766</v>
      </c>
      <c r="G67" s="515">
        <f>G28/G13</f>
        <v>0.05978038237415038</v>
      </c>
      <c r="H67" s="439">
        <f>H28/H13</f>
        <v>0.07053818147988114</v>
      </c>
      <c r="I67" s="159">
        <f t="shared" si="8"/>
        <v>0.08261808306175211</v>
      </c>
      <c r="J67" s="159">
        <f>J28/J13</f>
        <v>0.07919706221277681</v>
      </c>
      <c r="K67" s="95">
        <f t="shared" si="8"/>
        <v>0.07488818070683008</v>
      </c>
      <c r="L67" s="95">
        <f t="shared" si="8"/>
        <v>0.0748566088811922</v>
      </c>
      <c r="M67" s="95">
        <f t="shared" si="8"/>
        <v>0.06240503429324281</v>
      </c>
      <c r="N67" s="95">
        <f t="shared" si="8"/>
        <v>0.06924069556720099</v>
      </c>
      <c r="O67" s="95">
        <f t="shared" si="8"/>
        <v>0.05583862445484895</v>
      </c>
      <c r="P67" s="95">
        <f>P28/P13</f>
        <v>0.0432329818116661</v>
      </c>
      <c r="Q67" s="95">
        <f>Q28/Q13</f>
        <v>0.04372536960099067</v>
      </c>
    </row>
    <row r="68" spans="1:17" ht="38.25" customHeight="1">
      <c r="A68" s="94">
        <v>19</v>
      </c>
      <c r="B68" s="626" t="s">
        <v>106</v>
      </c>
      <c r="C68" s="627"/>
      <c r="D68" s="253" t="s">
        <v>70</v>
      </c>
      <c r="E68" s="159">
        <f>E66-E67</f>
        <v>0.08456305207048447</v>
      </c>
      <c r="F68" s="263">
        <f aca="true" t="shared" si="9" ref="F68:O68">F66-F67</f>
        <v>0.06442967943005234</v>
      </c>
      <c r="G68" s="515">
        <f t="shared" si="9"/>
        <v>0.03533914886597558</v>
      </c>
      <c r="H68" s="439">
        <f t="shared" si="9"/>
        <v>0.09948685227354456</v>
      </c>
      <c r="I68" s="159">
        <f>I66-I67</f>
        <v>0.15496267716631207</v>
      </c>
      <c r="J68" s="159">
        <f t="shared" si="9"/>
        <v>0.1802220825015187</v>
      </c>
      <c r="K68" s="159">
        <f t="shared" si="9"/>
        <v>0.10931676156557112</v>
      </c>
      <c r="L68" s="159">
        <f t="shared" si="9"/>
        <v>0.05915695640513055</v>
      </c>
      <c r="M68" s="159">
        <f t="shared" si="9"/>
        <v>0.06329510174289157</v>
      </c>
      <c r="N68" s="159">
        <f t="shared" si="9"/>
        <v>0.08117614843777636</v>
      </c>
      <c r="O68" s="159">
        <f t="shared" si="9"/>
        <v>0.12020829032954167</v>
      </c>
      <c r="P68" s="159">
        <f>P66-P67</f>
        <v>0.15514442315625349</v>
      </c>
      <c r="Q68" s="159">
        <f>Q66-Q67</f>
        <v>0.17659437764872685</v>
      </c>
    </row>
    <row r="69" spans="1:17" ht="16.5" customHeight="1">
      <c r="A69" s="94">
        <v>20</v>
      </c>
      <c r="B69" s="626" t="s">
        <v>107</v>
      </c>
      <c r="C69" s="627"/>
      <c r="D69" s="335">
        <f>'Prognoza długu'!C24</f>
        <v>105850665</v>
      </c>
      <c r="E69" s="78">
        <f>'Prognoza długu'!D24</f>
        <v>87934218</v>
      </c>
      <c r="F69" s="261">
        <f>'Prognoza długu'!E24</f>
        <v>112653007</v>
      </c>
      <c r="G69" s="512">
        <f>'Prognoza długu'!F24</f>
        <v>174807184</v>
      </c>
      <c r="H69" s="507">
        <f>'Prognoza długu'!G24</f>
        <v>151251025</v>
      </c>
      <c r="I69" s="78">
        <f>'Prognoza długu'!H24</f>
        <v>121200483</v>
      </c>
      <c r="J69" s="78">
        <f>'Prognoza długu'!I24</f>
        <v>106314943</v>
      </c>
      <c r="K69" s="78">
        <f>'Prognoza długu'!J24</f>
        <v>116286180</v>
      </c>
      <c r="L69" s="78">
        <f>'Prognoza długu'!K24</f>
        <v>119959546</v>
      </c>
      <c r="M69" s="78">
        <f>'Prognoza długu'!L24</f>
        <v>126112553.26</v>
      </c>
      <c r="N69" s="78">
        <f>'Prognoza długu'!M24</f>
        <v>129899732.54</v>
      </c>
      <c r="O69" s="78">
        <f>'Prognoza długu'!N24</f>
        <v>135803825.43</v>
      </c>
      <c r="P69" s="78">
        <f>'Prognoza długu'!O24</f>
        <v>142934692.3225</v>
      </c>
      <c r="Q69" s="78">
        <f>'Prognoza długu'!P24</f>
        <v>147157935</v>
      </c>
    </row>
    <row r="70" spans="1:17" ht="16.5" customHeight="1">
      <c r="A70" s="94">
        <v>21</v>
      </c>
      <c r="B70" s="626" t="s">
        <v>108</v>
      </c>
      <c r="C70" s="627"/>
      <c r="D70" s="78">
        <f>'Prognoza długu'!C25</f>
        <v>72590083</v>
      </c>
      <c r="E70" s="78">
        <f>'Prognoza długu'!D25</f>
        <v>78155472</v>
      </c>
      <c r="F70" s="261">
        <f>'Prognoza długu'!E25</f>
        <v>95385455</v>
      </c>
      <c r="G70" s="512">
        <f>'Prognoza długu'!F25</f>
        <v>104890486</v>
      </c>
      <c r="H70" s="507">
        <f>'Prognoza długu'!G25</f>
        <v>111569340</v>
      </c>
      <c r="I70" s="78">
        <f>'Prognoza długu'!H25</f>
        <v>105800983</v>
      </c>
      <c r="J70" s="78">
        <f>'Prognoza długu'!I25</f>
        <v>106314938</v>
      </c>
      <c r="K70" s="78">
        <f>'Prognoza długu'!J25</f>
        <v>106922430</v>
      </c>
      <c r="L70" s="78">
        <f>'Prognoza długu'!K25</f>
        <v>107959546</v>
      </c>
      <c r="M70" s="78">
        <f>'Prognoza długu'!L25</f>
        <v>109112553.26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4">
        <v>22</v>
      </c>
      <c r="B71" s="626" t="s">
        <v>137</v>
      </c>
      <c r="C71" s="627"/>
      <c r="D71" s="78">
        <f aca="true" t="shared" si="10" ref="D71:N71">D13-D69</f>
        <v>-24150972</v>
      </c>
      <c r="E71" s="78">
        <f t="shared" si="10"/>
        <v>-2838313</v>
      </c>
      <c r="F71" s="261">
        <f t="shared" si="10"/>
        <v>-5470814</v>
      </c>
      <c r="G71" s="512">
        <f t="shared" si="10"/>
        <v>-13969638</v>
      </c>
      <c r="H71" s="507">
        <f t="shared" si="10"/>
        <v>7316899</v>
      </c>
      <c r="I71" s="78">
        <f t="shared" si="10"/>
        <v>7156453</v>
      </c>
      <c r="J71" s="78">
        <f t="shared" si="10"/>
        <v>11899745</v>
      </c>
      <c r="K71" s="78">
        <f t="shared" si="10"/>
        <v>6300000</v>
      </c>
      <c r="L71" s="78">
        <f t="shared" si="10"/>
        <v>6901170</v>
      </c>
      <c r="M71" s="78">
        <f t="shared" si="10"/>
        <v>6062027.739999995</v>
      </c>
      <c r="N71" s="78">
        <f t="shared" si="10"/>
        <v>7850523.459999993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2">
        <v>23</v>
      </c>
      <c r="B72" s="620" t="s">
        <v>202</v>
      </c>
      <c r="C72" s="643"/>
      <c r="D72" s="77">
        <f>SUM(D73:D77)</f>
        <v>24150972</v>
      </c>
      <c r="E72" s="77">
        <f>SUM(E73:E77)</f>
        <v>2838313</v>
      </c>
      <c r="F72" s="258">
        <f>SUM(F73:F77)</f>
        <v>5470814</v>
      </c>
      <c r="G72" s="509">
        <f>SUM(G73:G77)</f>
        <v>13969638</v>
      </c>
      <c r="H72" s="507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6" t="s">
        <v>66</v>
      </c>
      <c r="B73" s="642" t="s">
        <v>89</v>
      </c>
      <c r="C73" s="643"/>
      <c r="D73" s="71">
        <v>6330000</v>
      </c>
      <c r="E73" s="71"/>
      <c r="F73" s="259"/>
      <c r="G73" s="512"/>
      <c r="H73" s="507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6" t="s">
        <v>68</v>
      </c>
      <c r="B74" s="642" t="s">
        <v>90</v>
      </c>
      <c r="C74" s="643"/>
      <c r="D74" s="71">
        <v>4810000</v>
      </c>
      <c r="E74" s="71"/>
      <c r="F74" s="259"/>
      <c r="G74" s="512">
        <v>10000000</v>
      </c>
      <c r="H74" s="507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6" t="s">
        <v>76</v>
      </c>
      <c r="B75" s="642" t="s">
        <v>200</v>
      </c>
      <c r="C75" s="643"/>
      <c r="D75" s="71"/>
      <c r="E75" s="71"/>
      <c r="F75" s="259"/>
      <c r="G75" s="512"/>
      <c r="H75" s="507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6" t="s">
        <v>79</v>
      </c>
      <c r="B76" s="644" t="s">
        <v>98</v>
      </c>
      <c r="C76" s="643"/>
      <c r="D76" s="71"/>
      <c r="E76" s="71"/>
      <c r="F76" s="259"/>
      <c r="G76" s="512">
        <v>3969638</v>
      </c>
      <c r="H76" s="507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6" t="s">
        <v>139</v>
      </c>
      <c r="B77" s="645" t="s">
        <v>205</v>
      </c>
      <c r="C77" s="646"/>
      <c r="D77" s="71">
        <v>13010972</v>
      </c>
      <c r="E77" s="71">
        <v>2838313</v>
      </c>
      <c r="F77" s="259">
        <v>5470814</v>
      </c>
      <c r="G77" s="512"/>
      <c r="H77" s="507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2">
        <v>24</v>
      </c>
      <c r="B78" s="620" t="s">
        <v>203</v>
      </c>
      <c r="C78" s="643"/>
      <c r="D78" s="77"/>
      <c r="E78" s="77"/>
      <c r="F78" s="258"/>
      <c r="G78" s="512"/>
      <c r="H78" s="507">
        <f>SUM(H79:H81)</f>
        <v>7316899</v>
      </c>
      <c r="I78" s="78">
        <f aca="true" t="shared" si="11" ref="I78:O78">SUM(I79:I81)</f>
        <v>7156453</v>
      </c>
      <c r="J78" s="78">
        <f t="shared" si="11"/>
        <v>6200000</v>
      </c>
      <c r="K78" s="78">
        <f t="shared" si="11"/>
        <v>6300000</v>
      </c>
      <c r="L78" s="78">
        <f t="shared" si="11"/>
        <v>6901170</v>
      </c>
      <c r="M78" s="78">
        <f t="shared" si="11"/>
        <v>6062028</v>
      </c>
      <c r="N78" s="78">
        <f t="shared" si="11"/>
        <v>7850523</v>
      </c>
      <c r="O78" s="78">
        <f t="shared" si="11"/>
        <v>6800000</v>
      </c>
      <c r="P78" s="78">
        <f>SUM(P79:P81)</f>
        <v>5723949</v>
      </c>
      <c r="Q78" s="78">
        <f>SUM(Q79:Q81)</f>
        <v>6500000</v>
      </c>
      <c r="R78" s="252"/>
    </row>
    <row r="79" spans="1:18" ht="15" customHeight="1">
      <c r="A79" s="97" t="s">
        <v>66</v>
      </c>
      <c r="B79" s="642" t="s">
        <v>199</v>
      </c>
      <c r="C79" s="643"/>
      <c r="D79" s="72"/>
      <c r="E79" s="98"/>
      <c r="F79" s="259"/>
      <c r="G79" s="516"/>
      <c r="H79" s="508">
        <f>H30</f>
        <v>3666899</v>
      </c>
      <c r="I79" s="70">
        <f aca="true" t="shared" si="12" ref="I79:O79">I30</f>
        <v>3506453</v>
      </c>
      <c r="J79" s="70">
        <f t="shared" si="12"/>
        <v>2550000</v>
      </c>
      <c r="K79" s="70">
        <f t="shared" si="12"/>
        <v>2550000</v>
      </c>
      <c r="L79" s="70">
        <f t="shared" si="12"/>
        <v>2401170</v>
      </c>
      <c r="M79" s="70">
        <f t="shared" si="12"/>
        <v>62028</v>
      </c>
      <c r="N79" s="70">
        <f t="shared" si="12"/>
        <v>750523</v>
      </c>
      <c r="O79" s="70">
        <f t="shared" si="12"/>
        <v>600000</v>
      </c>
      <c r="P79" s="70">
        <f aca="true" t="shared" si="13" ref="P79:Q81">P30</f>
        <v>423949</v>
      </c>
      <c r="Q79" s="70">
        <f t="shared" si="13"/>
        <v>0</v>
      </c>
      <c r="R79" s="28"/>
    </row>
    <row r="80" spans="1:17" ht="15" customHeight="1">
      <c r="A80" s="97" t="s">
        <v>68</v>
      </c>
      <c r="B80" s="642" t="s">
        <v>204</v>
      </c>
      <c r="C80" s="643"/>
      <c r="D80" s="72"/>
      <c r="E80" s="98"/>
      <c r="F80" s="259"/>
      <c r="G80" s="516"/>
      <c r="H80" s="508">
        <f>H31</f>
        <v>650000</v>
      </c>
      <c r="I80" s="70">
        <f aca="true" t="shared" si="14" ref="I80:O80">I31</f>
        <v>650000</v>
      </c>
      <c r="J80" s="70">
        <f t="shared" si="14"/>
        <v>650000</v>
      </c>
      <c r="K80" s="70">
        <f t="shared" si="14"/>
        <v>750000</v>
      </c>
      <c r="L80" s="70">
        <f t="shared" si="14"/>
        <v>1500000</v>
      </c>
      <c r="M80" s="70">
        <f t="shared" si="14"/>
        <v>1000000</v>
      </c>
      <c r="N80" s="70">
        <f t="shared" si="14"/>
        <v>500000</v>
      </c>
      <c r="O80" s="70">
        <f t="shared" si="14"/>
        <v>500000</v>
      </c>
      <c r="P80" s="70">
        <f t="shared" si="13"/>
        <v>1200000</v>
      </c>
      <c r="Q80" s="70">
        <f t="shared" si="13"/>
        <v>6500000</v>
      </c>
    </row>
    <row r="81" spans="1:17" ht="15" customHeight="1">
      <c r="A81" s="97" t="s">
        <v>76</v>
      </c>
      <c r="B81" s="642" t="s">
        <v>91</v>
      </c>
      <c r="C81" s="643"/>
      <c r="D81" s="72"/>
      <c r="E81" s="98"/>
      <c r="F81" s="259"/>
      <c r="G81" s="516"/>
      <c r="H81" s="508">
        <f>H32</f>
        <v>3000000</v>
      </c>
      <c r="I81" s="70">
        <f aca="true" t="shared" si="15" ref="I81:O81">I32</f>
        <v>3000000</v>
      </c>
      <c r="J81" s="70">
        <f t="shared" si="15"/>
        <v>3000000</v>
      </c>
      <c r="K81" s="70">
        <f t="shared" si="15"/>
        <v>3000000</v>
      </c>
      <c r="L81" s="70">
        <f t="shared" si="15"/>
        <v>3000000</v>
      </c>
      <c r="M81" s="70">
        <f t="shared" si="15"/>
        <v>5000000</v>
      </c>
      <c r="N81" s="70">
        <f t="shared" si="15"/>
        <v>6600000</v>
      </c>
      <c r="O81" s="70">
        <f t="shared" si="15"/>
        <v>5700000</v>
      </c>
      <c r="P81" s="70">
        <f t="shared" si="13"/>
        <v>4100000</v>
      </c>
      <c r="Q81" s="70">
        <f t="shared" si="13"/>
        <v>0</v>
      </c>
    </row>
    <row r="82" spans="1:17" ht="19.5" customHeight="1">
      <c r="A82" s="94">
        <v>25</v>
      </c>
      <c r="B82" s="626" t="s">
        <v>109</v>
      </c>
      <c r="C82" s="627"/>
      <c r="D82" s="78">
        <f>'Prognoza długu'!C46</f>
        <v>28859761</v>
      </c>
      <c r="E82" s="78">
        <f>'Prognoza długu'!D46</f>
        <v>10245475</v>
      </c>
      <c r="F82" s="261">
        <f>'Prognoza długu'!E46</f>
        <v>14027077</v>
      </c>
      <c r="G82" s="427">
        <f>G52+G57</f>
        <v>20904678</v>
      </c>
      <c r="H82" s="435">
        <f aca="true" t="shared" si="16" ref="H82:O82">H52</f>
        <v>0</v>
      </c>
      <c r="I82" s="78">
        <f t="shared" si="16"/>
        <v>0</v>
      </c>
      <c r="J82" s="78">
        <f t="shared" si="16"/>
        <v>0</v>
      </c>
      <c r="K82" s="78">
        <f t="shared" si="16"/>
        <v>0</v>
      </c>
      <c r="L82" s="78">
        <f t="shared" si="16"/>
        <v>0</v>
      </c>
      <c r="M82" s="78">
        <f t="shared" si="16"/>
        <v>0</v>
      </c>
      <c r="N82" s="78">
        <f t="shared" si="16"/>
        <v>0</v>
      </c>
      <c r="O82" s="78">
        <f t="shared" si="16"/>
        <v>0</v>
      </c>
      <c r="P82" s="78">
        <f>P52</f>
        <v>0</v>
      </c>
      <c r="Q82" s="78">
        <f>Q52</f>
        <v>0</v>
      </c>
    </row>
    <row r="83" spans="1:17" ht="19.5" customHeight="1" thickBot="1">
      <c r="A83" s="99">
        <v>26</v>
      </c>
      <c r="B83" s="640" t="s">
        <v>110</v>
      </c>
      <c r="C83" s="641"/>
      <c r="D83" s="100">
        <f aca="true" t="shared" si="17" ref="D83:O83">D29</f>
        <v>3463314</v>
      </c>
      <c r="E83" s="161">
        <f t="shared" si="17"/>
        <v>6940085</v>
      </c>
      <c r="F83" s="264">
        <f t="shared" si="17"/>
        <v>4551585</v>
      </c>
      <c r="G83" s="429">
        <f t="shared" si="17"/>
        <v>6935040</v>
      </c>
      <c r="H83" s="440">
        <f t="shared" si="17"/>
        <v>7316899</v>
      </c>
      <c r="I83" s="100">
        <f t="shared" si="17"/>
        <v>7156453</v>
      </c>
      <c r="J83" s="100">
        <f t="shared" si="17"/>
        <v>6200000</v>
      </c>
      <c r="K83" s="100">
        <f t="shared" si="17"/>
        <v>6300000</v>
      </c>
      <c r="L83" s="100">
        <f t="shared" si="17"/>
        <v>6901170</v>
      </c>
      <c r="M83" s="100">
        <f t="shared" si="17"/>
        <v>6062028</v>
      </c>
      <c r="N83" s="100">
        <f t="shared" si="17"/>
        <v>7850523</v>
      </c>
      <c r="O83" s="100">
        <f t="shared" si="17"/>
        <v>6800000</v>
      </c>
      <c r="P83" s="100">
        <f>P29</f>
        <v>5723949</v>
      </c>
      <c r="Q83" s="100">
        <f>Q29</f>
        <v>6500000</v>
      </c>
    </row>
    <row r="84" spans="1:17" ht="15.75">
      <c r="A84" s="101"/>
      <c r="B84" s="102"/>
      <c r="C84" s="103"/>
      <c r="D84" s="105"/>
      <c r="E84" s="104"/>
      <c r="F84" s="105"/>
      <c r="G84" s="105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2.75">
      <c r="A85" s="67"/>
      <c r="B85" s="67"/>
      <c r="C85" s="64"/>
      <c r="D85" s="66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6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6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4:7" ht="12.75">
      <c r="D88" s="14"/>
      <c r="E88" s="27"/>
      <c r="F88" s="14"/>
      <c r="G88" s="14"/>
    </row>
  </sheetData>
  <sheetProtection/>
  <mergeCells count="84"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  <mergeCell ref="M11:M12"/>
    <mergeCell ref="D9:Q9"/>
    <mergeCell ref="I11:I12"/>
    <mergeCell ref="Q11:Q12"/>
    <mergeCell ref="O11:O12"/>
    <mergeCell ref="K11:K12"/>
    <mergeCell ref="J11:J12"/>
    <mergeCell ref="P11:P12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M50:M51"/>
    <mergeCell ref="K50:K51"/>
    <mergeCell ref="G50:G51"/>
    <mergeCell ref="B70:C70"/>
    <mergeCell ref="B66:C66"/>
    <mergeCell ref="B67:C67"/>
    <mergeCell ref="B64:C64"/>
    <mergeCell ref="I50:I51"/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A2">
      <selection activeCell="T12" sqref="T11:T12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47" t="s">
        <v>111</v>
      </c>
      <c r="L1" s="47"/>
      <c r="M1" s="109"/>
      <c r="N1" s="109"/>
      <c r="O1" s="109"/>
      <c r="P1" s="109"/>
    </row>
    <row r="2" spans="1:16" ht="2.2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52"/>
      <c r="L2" s="53"/>
      <c r="M2" s="109"/>
      <c r="N2" s="109"/>
      <c r="O2" s="109"/>
      <c r="P2" s="109"/>
    </row>
    <row r="3" spans="1:16" ht="17.2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57" t="s">
        <v>338</v>
      </c>
      <c r="L3" s="53"/>
      <c r="M3" s="109"/>
      <c r="N3" s="109"/>
      <c r="O3" s="109"/>
      <c r="P3" s="109"/>
    </row>
    <row r="4" spans="1:16" ht="17.2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57" t="s">
        <v>49</v>
      </c>
      <c r="L4" s="53"/>
      <c r="M4" s="109"/>
      <c r="N4" s="109"/>
      <c r="O4" s="109"/>
      <c r="P4" s="109"/>
    </row>
    <row r="5" spans="1:16" ht="17.2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57" t="s">
        <v>339</v>
      </c>
      <c r="L5" s="53"/>
      <c r="M5" s="109"/>
      <c r="N5" s="109"/>
      <c r="O5" s="109"/>
      <c r="P5" s="109"/>
    </row>
    <row r="6" spans="1:16" ht="39.75" customHeight="1" thickBot="1">
      <c r="A6" s="685" t="s">
        <v>356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7"/>
    </row>
    <row r="7" spans="1:16" ht="17.25" customHeight="1" thickBot="1">
      <c r="A7" s="681" t="s">
        <v>112</v>
      </c>
      <c r="B7" s="683" t="s">
        <v>62</v>
      </c>
      <c r="C7" s="649" t="s">
        <v>317</v>
      </c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</row>
    <row r="8" spans="1:16" ht="17.25" customHeight="1" thickBot="1">
      <c r="A8" s="681"/>
      <c r="B8" s="683"/>
      <c r="C8" s="649" t="s">
        <v>63</v>
      </c>
      <c r="D8" s="684"/>
      <c r="E8" s="680"/>
      <c r="F8" s="649" t="s">
        <v>64</v>
      </c>
      <c r="G8" s="680"/>
      <c r="H8" s="680"/>
      <c r="I8" s="680"/>
      <c r="J8" s="680"/>
      <c r="K8" s="680"/>
      <c r="L8" s="680"/>
      <c r="M8" s="680"/>
      <c r="N8" s="680"/>
      <c r="O8" s="680"/>
      <c r="P8" s="680"/>
    </row>
    <row r="9" spans="1:16" ht="38.25" customHeight="1" thickBot="1">
      <c r="A9" s="681"/>
      <c r="B9" s="683"/>
      <c r="C9" s="281">
        <v>2009</v>
      </c>
      <c r="D9" s="282">
        <v>2010</v>
      </c>
      <c r="E9" s="281">
        <v>2011</v>
      </c>
      <c r="F9" s="441" t="s">
        <v>340</v>
      </c>
      <c r="G9" s="442">
        <v>2013</v>
      </c>
      <c r="H9" s="281">
        <v>2014</v>
      </c>
      <c r="I9" s="281">
        <v>2015</v>
      </c>
      <c r="J9" s="281">
        <v>2016</v>
      </c>
      <c r="K9" s="281">
        <v>2017</v>
      </c>
      <c r="L9" s="281">
        <v>2018</v>
      </c>
      <c r="M9" s="281">
        <v>2019</v>
      </c>
      <c r="N9" s="281">
        <v>2020</v>
      </c>
      <c r="O9" s="281">
        <v>2021</v>
      </c>
      <c r="P9" s="281">
        <v>2022</v>
      </c>
    </row>
    <row r="10" spans="1:16" ht="20.25" customHeight="1">
      <c r="A10" s="110">
        <v>1</v>
      </c>
      <c r="B10" s="111" t="s">
        <v>113</v>
      </c>
      <c r="C10" s="112">
        <v>45737732</v>
      </c>
      <c r="D10" s="112">
        <f>C10+WPF!E52-WPF!E29</f>
        <v>47797647</v>
      </c>
      <c r="E10" s="246">
        <f>D10+WPF!F52-WPF!F29</f>
        <v>56846062</v>
      </c>
      <c r="F10" s="246">
        <f>E10+WPF!G52-WPF!G29</f>
        <v>66811022</v>
      </c>
      <c r="G10" s="446">
        <f>F10+WPF!H52-WPF!H29</f>
        <v>59494123</v>
      </c>
      <c r="H10" s="112">
        <f>G10+WPF!I52-WPF!I29</f>
        <v>52337670</v>
      </c>
      <c r="I10" s="112">
        <f>H10+WPF!J52-WPF!J29</f>
        <v>46137670</v>
      </c>
      <c r="J10" s="112">
        <f>I10+WPF!K52-WPF!K29</f>
        <v>39837670</v>
      </c>
      <c r="K10" s="112">
        <f>J10+WPF!L52-WPF!L29</f>
        <v>32936500</v>
      </c>
      <c r="L10" s="112">
        <f>K10+WPF!M52-WPF!M29</f>
        <v>26874472</v>
      </c>
      <c r="M10" s="112">
        <f>L10+WPF!N52-WPF!N29</f>
        <v>19023949</v>
      </c>
      <c r="N10" s="112">
        <f>M10+WPF!O52-WPF!O29</f>
        <v>12223949</v>
      </c>
      <c r="O10" s="112">
        <f>N10+WPF!P52-WPF!P29</f>
        <v>6500000</v>
      </c>
      <c r="P10" s="112">
        <f>O10+WPF!Q52-WPF!Q29</f>
        <v>0</v>
      </c>
    </row>
    <row r="11" spans="1:16" ht="33.75" customHeight="1">
      <c r="A11" s="113" t="s">
        <v>66</v>
      </c>
      <c r="B11" s="41" t="s">
        <v>114</v>
      </c>
      <c r="C11" s="39">
        <v>0</v>
      </c>
      <c r="D11" s="39">
        <v>0</v>
      </c>
      <c r="E11" s="247">
        <v>2100000</v>
      </c>
      <c r="F11" s="247">
        <v>2050000</v>
      </c>
      <c r="G11" s="444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7" ht="42" customHeight="1">
      <c r="A12" s="113" t="s">
        <v>68</v>
      </c>
      <c r="B12" s="41" t="s">
        <v>222</v>
      </c>
      <c r="C12" s="39">
        <v>0</v>
      </c>
      <c r="D12" s="39">
        <v>0</v>
      </c>
      <c r="E12" s="247">
        <v>0</v>
      </c>
      <c r="F12" s="247">
        <v>50000</v>
      </c>
      <c r="G12" s="444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14"/>
    </row>
    <row r="13" spans="1:16" ht="55.5" customHeight="1">
      <c r="A13" s="113" t="s">
        <v>115</v>
      </c>
      <c r="B13" s="41" t="s">
        <v>116</v>
      </c>
      <c r="C13" s="39">
        <v>0</v>
      </c>
      <c r="D13" s="39">
        <v>0</v>
      </c>
      <c r="E13" s="247">
        <v>0</v>
      </c>
      <c r="F13" s="247">
        <v>0</v>
      </c>
      <c r="G13" s="444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ht="24" customHeight="1">
      <c r="A14" s="113" t="s">
        <v>117</v>
      </c>
      <c r="B14" s="41" t="s">
        <v>118</v>
      </c>
      <c r="C14" s="39">
        <f>WPF!D29</f>
        <v>3463314</v>
      </c>
      <c r="D14" s="39">
        <f>WPF!E29</f>
        <v>6940085</v>
      </c>
      <c r="E14" s="247">
        <f>WPF!F29</f>
        <v>4551585</v>
      </c>
      <c r="F14" s="247">
        <f>WPF!G29</f>
        <v>6935040</v>
      </c>
      <c r="G14" s="444">
        <f>WPF!H29</f>
        <v>7316899</v>
      </c>
      <c r="H14" s="39">
        <f>WPF!I29</f>
        <v>7156453</v>
      </c>
      <c r="I14" s="39">
        <f>WPF!J29</f>
        <v>6200000</v>
      </c>
      <c r="J14" s="39">
        <f>WPF!K29</f>
        <v>6300000</v>
      </c>
      <c r="K14" s="39">
        <f>WPF!L29</f>
        <v>6901170</v>
      </c>
      <c r="L14" s="39">
        <f>WPF!M29</f>
        <v>6062028</v>
      </c>
      <c r="M14" s="39">
        <f>WPF!N29</f>
        <v>7850523</v>
      </c>
      <c r="N14" s="39">
        <f>WPF!O29</f>
        <v>6800000</v>
      </c>
      <c r="O14" s="39">
        <f>WPF!P29</f>
        <v>5723949</v>
      </c>
      <c r="P14" s="39">
        <f>WPF!Q29</f>
        <v>6500000</v>
      </c>
    </row>
    <row r="15" spans="1:16" ht="24" customHeight="1">
      <c r="A15" s="114" t="s">
        <v>119</v>
      </c>
      <c r="B15" s="115" t="s">
        <v>120</v>
      </c>
      <c r="C15" s="116"/>
      <c r="D15" s="117">
        <v>0.1911</v>
      </c>
      <c r="E15" s="250">
        <f>WPF!F66</f>
        <v>0.1292</v>
      </c>
      <c r="F15" s="250">
        <f>WPF!G66</f>
        <v>0.09511953124012595</v>
      </c>
      <c r="G15" s="447">
        <f>WPF!H66</f>
        <v>0.1700250337534257</v>
      </c>
      <c r="H15" s="250">
        <f>WPF!I66</f>
        <v>0.23758076022806418</v>
      </c>
      <c r="I15" s="117">
        <f>1/3*((WPF!G14+WPF!G16-'Prognoza długu'!F25)/WPF!G13+(WPF!H14+WPF!H16-'Prognoza długu'!G25)/WPF!H13+(WPF!I14+WPF!I16-'Prognoza długu'!H25)/WPF!I13)</f>
        <v>0.2594191447142955</v>
      </c>
      <c r="J15" s="117">
        <f>1/3*((WPF!H14+WPF!H16-'Prognoza długu'!G25)/WPF!H13+(WPF!I14+WPF!I16-'Prognoza długu'!H25)/WPF!I13+(WPF!J14+WPF!J16-'Prognoza długu'!I25)/WPF!J13)</f>
        <v>0.1842049422724012</v>
      </c>
      <c r="K15" s="117">
        <f>1/3*((WPF!I14+WPF!I16-'Prognoza długu'!H25)/WPF!I13+(WPF!J14+WPF!J16-'Prognoza długu'!I25)/WPF!J13+(WPF!K14+WPF!K16-'Prognoza długu'!J25)/WPF!K13)</f>
        <v>0.13401356528632274</v>
      </c>
      <c r="L15" s="117">
        <f>1/3*((WPF!J14+WPF!J16-'Prognoza długu'!I25)/WPF!J13+(WPF!K14+WPF!K16-'Prognoza długu'!J25)/WPF!K13+(WPF!L14+WPF!L16-'Prognoza długu'!K25)/WPF!L13)</f>
        <v>0.1257001360361344</v>
      </c>
      <c r="M15" s="117">
        <f>1/3*((WPF!K14+WPF!K16-'Prognoza długu'!J25)/WPF!K13+(WPF!L14+WPF!L16-'Prognoza długu'!K25)/WPF!L13+(WPF!M14+WPF!M16-'Prognoza długu'!L25)/WPF!M13)</f>
        <v>0.15041684400497735</v>
      </c>
      <c r="N15" s="117">
        <f>1/3*((WPF!L14+WPF!L16-'Prognoza długu'!K25)/WPF!L13+(WPF!M14+WPF!M16-'Prognoza długu'!L25)/WPF!M13+(WPF!N14+WPF!N16-'Prognoza długu'!M25)/WPF!N13)</f>
        <v>0.1760469147843906</v>
      </c>
      <c r="O15" s="117">
        <f>1/3*((WPF!L14+WPF!L16-'Prognoza długu'!K25)/WPF!L13+(WPF!M14+WPF!M16-'Prognoza długu'!L25)/WPF!M13+(WPF!N14+WPF!N16-'Prognoza długu'!M25)/WPF!N13)</f>
        <v>0.1760469147843906</v>
      </c>
      <c r="P15" s="117">
        <f>1/3*((WPF!M14+WPF!M16-'Prognoza długu'!L25)/WPF!M13+(WPF!N14+WPF!N16-'Prognoza długu'!M25)/WPF!N13+(WPF!O14+WPF!O16-'Prognoza długu'!N25)/WPF!O13)</f>
        <v>0.19837740496791958</v>
      </c>
    </row>
    <row r="16" spans="1:16" ht="30.75" customHeight="1">
      <c r="A16" s="114" t="s">
        <v>121</v>
      </c>
      <c r="B16" s="115" t="s">
        <v>122</v>
      </c>
      <c r="C16" s="116" t="s">
        <v>81</v>
      </c>
      <c r="D16" s="117">
        <f>(WPF!E33+WPF!E29)/WPF!E13</f>
        <v>0.10653694792951553</v>
      </c>
      <c r="E16" s="250">
        <f>(WPF!F33+WPF!F29)/WPF!F13</f>
        <v>0.06477032056994766</v>
      </c>
      <c r="F16" s="250">
        <f>(WPF!G33+WPF!G29)/WPF!G13</f>
        <v>0.05978038237415038</v>
      </c>
      <c r="G16" s="447">
        <f>(WPF!H33+WPF!H29)/WPF!H13</f>
        <v>0.07053818147988114</v>
      </c>
      <c r="H16" s="117">
        <f>(WPF!I33+WPF!I29)/WPF!I13</f>
        <v>0.08261808306175211</v>
      </c>
      <c r="I16" s="117">
        <f>(WPF!J33+WPF!J29)/WPF!J13</f>
        <v>0.07919706221277681</v>
      </c>
      <c r="J16" s="117">
        <f>(WPF!K33+WPF!K29)/WPF!K13</f>
        <v>0.07488818070683008</v>
      </c>
      <c r="K16" s="117">
        <f>(WPF!L33+WPF!L29)/WPF!L13</f>
        <v>0.0748566088811922</v>
      </c>
      <c r="L16" s="117">
        <f>(WPF!M33+WPF!M29)/WPF!M13</f>
        <v>0.06240503429324281</v>
      </c>
      <c r="M16" s="117">
        <f>(WPF!N33+WPF!N29)/WPF!N13</f>
        <v>0.06924069556720099</v>
      </c>
      <c r="N16" s="117">
        <f>(WPF!O33+WPF!O29)/WPF!O13</f>
        <v>0.05583862445484895</v>
      </c>
      <c r="O16" s="117">
        <f>(WPF!P33+WPF!P29)/WPF!P13</f>
        <v>0.0432329818116661</v>
      </c>
      <c r="P16" s="117">
        <f>(WPF!Q33+WPF!Q29)/WPF!Q13</f>
        <v>0.04372536960099067</v>
      </c>
    </row>
    <row r="17" spans="1:16" ht="35.25" customHeight="1">
      <c r="A17" s="114" t="s">
        <v>123</v>
      </c>
      <c r="B17" s="118" t="s">
        <v>124</v>
      </c>
      <c r="C17" s="116"/>
      <c r="D17" s="117">
        <f>D15-D16</f>
        <v>0.08456305207048447</v>
      </c>
      <c r="E17" s="250">
        <f aca="true" t="shared" si="0" ref="E17:N17">E15-E16</f>
        <v>0.06442967943005234</v>
      </c>
      <c r="F17" s="250">
        <f t="shared" si="0"/>
        <v>0.03533914886597558</v>
      </c>
      <c r="G17" s="447">
        <f t="shared" si="0"/>
        <v>0.09948685227354456</v>
      </c>
      <c r="H17" s="117">
        <f t="shared" si="0"/>
        <v>0.15496267716631207</v>
      </c>
      <c r="I17" s="117">
        <f t="shared" si="0"/>
        <v>0.1802220825015187</v>
      </c>
      <c r="J17" s="117">
        <f t="shared" si="0"/>
        <v>0.10931676156557112</v>
      </c>
      <c r="K17" s="117">
        <f t="shared" si="0"/>
        <v>0.05915695640513055</v>
      </c>
      <c r="L17" s="117">
        <f t="shared" si="0"/>
        <v>0.06329510174289157</v>
      </c>
      <c r="M17" s="117">
        <f t="shared" si="0"/>
        <v>0.08117614843777636</v>
      </c>
      <c r="N17" s="117">
        <f t="shared" si="0"/>
        <v>0.12020829032954167</v>
      </c>
      <c r="O17" s="117">
        <f>O15-O16</f>
        <v>0.1328139329727245</v>
      </c>
      <c r="P17" s="117">
        <f>P15-P16</f>
        <v>0.15465203536692892</v>
      </c>
    </row>
    <row r="18" spans="1:16" ht="30" customHeight="1">
      <c r="A18" s="113" t="s">
        <v>125</v>
      </c>
      <c r="B18" s="41" t="s">
        <v>126</v>
      </c>
      <c r="C18" s="119">
        <f>WPF!D28/WPF!D13%</f>
        <v>5.510659630018438</v>
      </c>
      <c r="D18" s="119">
        <f>WPF!E28/WPF!E13%</f>
        <v>10.653694792951551</v>
      </c>
      <c r="E18" s="248">
        <f>WPF!F28/WPF!F13%</f>
        <v>6.477032056994767</v>
      </c>
      <c r="F18" s="248">
        <f>WPF!G28/WPF!G13%</f>
        <v>5.978038237415038</v>
      </c>
      <c r="G18" s="448">
        <f>WPF!H28/WPF!H13%</f>
        <v>7.053818147988114</v>
      </c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29.25" customHeight="1">
      <c r="A19" s="113" t="s">
        <v>127</v>
      </c>
      <c r="B19" s="41" t="s">
        <v>128</v>
      </c>
      <c r="C19" s="119">
        <f>C10/WPF!D13%</f>
        <v>55.982746471274986</v>
      </c>
      <c r="D19" s="119">
        <f>D10/WPF!E13%</f>
        <v>56.16915056018265</v>
      </c>
      <c r="E19" s="248">
        <f>E10/WPF!F13%</f>
        <v>53.03685286603532</v>
      </c>
      <c r="F19" s="248">
        <f>F10/WPF!G13%</f>
        <v>41.53944378136682</v>
      </c>
      <c r="G19" s="448">
        <f>G10/WPF!H13%</f>
        <v>37.519645524273876</v>
      </c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7.25" customHeight="1">
      <c r="A20" s="60" t="s">
        <v>129</v>
      </c>
      <c r="B20" s="120" t="s">
        <v>130</v>
      </c>
      <c r="C20" s="42">
        <f aca="true" t="shared" si="1" ref="C20:N20">C21+C22</f>
        <v>81699693</v>
      </c>
      <c r="D20" s="42">
        <f t="shared" si="1"/>
        <v>85095905</v>
      </c>
      <c r="E20" s="249">
        <f t="shared" si="1"/>
        <v>107182193</v>
      </c>
      <c r="F20" s="249">
        <f>F21+F22</f>
        <v>160837546</v>
      </c>
      <c r="G20" s="443">
        <f t="shared" si="1"/>
        <v>158567924</v>
      </c>
      <c r="H20" s="42">
        <f t="shared" si="1"/>
        <v>128356936</v>
      </c>
      <c r="I20" s="42">
        <f t="shared" si="1"/>
        <v>118214688</v>
      </c>
      <c r="J20" s="121">
        <f t="shared" si="1"/>
        <v>122586180</v>
      </c>
      <c r="K20" s="42">
        <f t="shared" si="1"/>
        <v>126860716</v>
      </c>
      <c r="L20" s="42">
        <f t="shared" si="1"/>
        <v>132174581</v>
      </c>
      <c r="M20" s="42">
        <f t="shared" si="1"/>
        <v>137750256</v>
      </c>
      <c r="N20" s="42">
        <f t="shared" si="1"/>
        <v>142603825</v>
      </c>
      <c r="O20" s="42">
        <f>O21+O22</f>
        <v>148658641</v>
      </c>
      <c r="P20" s="42">
        <f>P21+P22</f>
        <v>153657935</v>
      </c>
    </row>
    <row r="21" spans="1:16" ht="16.5" customHeight="1">
      <c r="A21" s="113" t="s">
        <v>66</v>
      </c>
      <c r="B21" s="41" t="s">
        <v>131</v>
      </c>
      <c r="C21" s="39">
        <f>WPF!D14</f>
        <v>80665439</v>
      </c>
      <c r="D21" s="39">
        <f>WPF!E14</f>
        <v>84339995</v>
      </c>
      <c r="E21" s="247">
        <f>WPF!F14</f>
        <v>101368763</v>
      </c>
      <c r="F21" s="247">
        <f>WPF!G14</f>
        <v>106305452</v>
      </c>
      <c r="G21" s="444">
        <f>WPF!H14</f>
        <v>111706973</v>
      </c>
      <c r="H21" s="39">
        <f>WPF!I14</f>
        <v>116126336</v>
      </c>
      <c r="I21" s="39">
        <f>WPF!J14</f>
        <v>118175588</v>
      </c>
      <c r="J21" s="122">
        <f>WPF!K14</f>
        <v>122586180</v>
      </c>
      <c r="K21" s="39">
        <f>WPF!L14</f>
        <v>126860716</v>
      </c>
      <c r="L21" s="39">
        <f>WPF!M14</f>
        <v>132174581</v>
      </c>
      <c r="M21" s="39">
        <f>WPF!N14</f>
        <v>137750256</v>
      </c>
      <c r="N21" s="39">
        <f>WPF!O14</f>
        <v>142603825</v>
      </c>
      <c r="O21" s="39">
        <f>WPF!P14</f>
        <v>148658641</v>
      </c>
      <c r="P21" s="39">
        <f>WPF!Q14</f>
        <v>153657935</v>
      </c>
    </row>
    <row r="22" spans="1:16" ht="16.5" customHeight="1">
      <c r="A22" s="113" t="s">
        <v>68</v>
      </c>
      <c r="B22" s="41" t="s">
        <v>69</v>
      </c>
      <c r="C22" s="39">
        <f>WPF!D15</f>
        <v>1034254</v>
      </c>
      <c r="D22" s="39">
        <f>WPF!E15</f>
        <v>755910</v>
      </c>
      <c r="E22" s="247">
        <f>WPF!F15</f>
        <v>5813430</v>
      </c>
      <c r="F22" s="247">
        <f>WPF!G15</f>
        <v>54532094</v>
      </c>
      <c r="G22" s="444">
        <f>WPF!H15</f>
        <v>46860951</v>
      </c>
      <c r="H22" s="39">
        <f>WPF!I15</f>
        <v>12230600</v>
      </c>
      <c r="I22" s="39">
        <f>WPF!J15</f>
        <v>39100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3" t="s">
        <v>70</v>
      </c>
      <c r="B23" s="41" t="s">
        <v>72</v>
      </c>
      <c r="C23" s="39">
        <f>WPF!D16</f>
        <v>197354</v>
      </c>
      <c r="D23" s="39">
        <f>WPF!E16</f>
        <v>255910</v>
      </c>
      <c r="E23" s="247">
        <f>WPF!F16</f>
        <v>5637026</v>
      </c>
      <c r="F23" s="247">
        <f>WPF!G16</f>
        <v>51013900</v>
      </c>
      <c r="G23" s="444">
        <f>WPF!H16</f>
        <v>44000000</v>
      </c>
      <c r="H23" s="39">
        <f>WPF!I16</f>
        <v>12000000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132</v>
      </c>
      <c r="B24" s="120" t="s">
        <v>133</v>
      </c>
      <c r="C24" s="42">
        <f>C25+C26</f>
        <v>105850665</v>
      </c>
      <c r="D24" s="42">
        <f>D25+D26</f>
        <v>87934218</v>
      </c>
      <c r="E24" s="249">
        <f>E25+E26</f>
        <v>112653007</v>
      </c>
      <c r="F24" s="249">
        <f>F25+F26</f>
        <v>174807184</v>
      </c>
      <c r="G24" s="443">
        <f>G25+G26</f>
        <v>151251025</v>
      </c>
      <c r="H24" s="42">
        <f aca="true" t="shared" si="2" ref="H24:P24">H25+H26</f>
        <v>121200483</v>
      </c>
      <c r="I24" s="42">
        <f t="shared" si="2"/>
        <v>106314943</v>
      </c>
      <c r="J24" s="42">
        <f t="shared" si="2"/>
        <v>116286180</v>
      </c>
      <c r="K24" s="42">
        <f t="shared" si="2"/>
        <v>119959546</v>
      </c>
      <c r="L24" s="42">
        <f t="shared" si="2"/>
        <v>126112553.26</v>
      </c>
      <c r="M24" s="42">
        <f t="shared" si="2"/>
        <v>129899732.54</v>
      </c>
      <c r="N24" s="42">
        <f t="shared" si="2"/>
        <v>135803825.43</v>
      </c>
      <c r="O24" s="42">
        <f>O25+O26</f>
        <v>142934692.3225</v>
      </c>
      <c r="P24" s="42">
        <f t="shared" si="2"/>
        <v>147157935</v>
      </c>
    </row>
    <row r="25" spans="1:16" ht="17.25" customHeight="1">
      <c r="A25" s="113" t="s">
        <v>66</v>
      </c>
      <c r="B25" s="41" t="s">
        <v>134</v>
      </c>
      <c r="C25" s="39">
        <f>WPF!D17+WPF!D33</f>
        <v>72590083</v>
      </c>
      <c r="D25" s="39">
        <f>WPF!E17+WPF!E33</f>
        <v>78155472</v>
      </c>
      <c r="E25" s="247">
        <f>WPF!F17+WPF!F33</f>
        <v>95385455</v>
      </c>
      <c r="F25" s="247">
        <f>WPF!G17+WPF!G33</f>
        <v>104890486</v>
      </c>
      <c r="G25" s="444">
        <f>WPF!H17+WPF!H33</f>
        <v>111569340</v>
      </c>
      <c r="H25" s="39">
        <f>WPF!I17+WPF!I33</f>
        <v>105800983</v>
      </c>
      <c r="I25" s="39">
        <f>WPF!J17+WPF!J33</f>
        <v>106314938</v>
      </c>
      <c r="J25" s="39">
        <f>WPF!K17+WPF!K33</f>
        <v>106922430</v>
      </c>
      <c r="K25" s="39">
        <f>WPF!L17+WPF!L33</f>
        <v>107959546</v>
      </c>
      <c r="L25" s="39">
        <f>WPF!M17+WPF!M33</f>
        <v>109112553.26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3" t="s">
        <v>68</v>
      </c>
      <c r="B26" s="41" t="s">
        <v>135</v>
      </c>
      <c r="C26" s="39">
        <f>WPF!D36</f>
        <v>33260582</v>
      </c>
      <c r="D26" s="39">
        <f>WPF!E36</f>
        <v>9778746</v>
      </c>
      <c r="E26" s="247">
        <f>WPF!F36</f>
        <v>17267552</v>
      </c>
      <c r="F26" s="247">
        <f>WPF!G36</f>
        <v>69916698</v>
      </c>
      <c r="G26" s="444">
        <f>WPF!H36</f>
        <v>39681685</v>
      </c>
      <c r="H26" s="39">
        <f>WPF!I36</f>
        <v>15399500</v>
      </c>
      <c r="I26" s="39">
        <f>WPF!J36</f>
        <v>5</v>
      </c>
      <c r="J26" s="39">
        <f>WPF!K36</f>
        <v>9363750</v>
      </c>
      <c r="K26" s="39">
        <f>WPF!L36</f>
        <v>12000000</v>
      </c>
      <c r="L26" s="39">
        <f>WPF!M36</f>
        <v>17000000</v>
      </c>
      <c r="M26" s="39">
        <f>WPF!N36</f>
        <v>20342500</v>
      </c>
      <c r="N26" s="39">
        <f>WPF!O36</f>
        <v>24000000</v>
      </c>
      <c r="O26" s="39">
        <f>WPF!P36</f>
        <v>30000000</v>
      </c>
      <c r="P26" s="39">
        <f>WPF!Q36</f>
        <v>32000000</v>
      </c>
    </row>
    <row r="27" spans="1:16" ht="31.5" customHeight="1">
      <c r="A27" s="60" t="s">
        <v>136</v>
      </c>
      <c r="B27" s="120" t="s">
        <v>137</v>
      </c>
      <c r="C27" s="42">
        <f>C20-C24</f>
        <v>-24150972</v>
      </c>
      <c r="D27" s="42">
        <f>D20-D24</f>
        <v>-2838313</v>
      </c>
      <c r="E27" s="249">
        <f>E20-E24</f>
        <v>-5470814</v>
      </c>
      <c r="F27" s="249">
        <f>F20-F24</f>
        <v>-13969638</v>
      </c>
      <c r="G27" s="443">
        <f>G20-G24</f>
        <v>7316899</v>
      </c>
      <c r="H27" s="42">
        <f aca="true" t="shared" si="3" ref="H27:P27">H20-H24</f>
        <v>7156453</v>
      </c>
      <c r="I27" s="42">
        <f t="shared" si="3"/>
        <v>11899745</v>
      </c>
      <c r="J27" s="42">
        <f t="shared" si="3"/>
        <v>6300000</v>
      </c>
      <c r="K27" s="42">
        <f t="shared" si="3"/>
        <v>6901170</v>
      </c>
      <c r="L27" s="42">
        <f t="shared" si="3"/>
        <v>6062027.739999995</v>
      </c>
      <c r="M27" s="42">
        <f t="shared" si="3"/>
        <v>7850523.459999993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138</v>
      </c>
      <c r="B28" s="120" t="s">
        <v>202</v>
      </c>
      <c r="C28" s="42">
        <f>SUM(C29:C33)</f>
        <v>24150972</v>
      </c>
      <c r="D28" s="42">
        <f>SUM(D29:D33)</f>
        <v>2838313</v>
      </c>
      <c r="E28" s="249">
        <f>SUM(E29:E33)</f>
        <v>5470814</v>
      </c>
      <c r="F28" s="249">
        <f>SUM(F29:F33)</f>
        <v>13969638</v>
      </c>
      <c r="G28" s="443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66</v>
      </c>
      <c r="B29" s="44" t="s">
        <v>89</v>
      </c>
      <c r="C29" s="39">
        <v>6330000</v>
      </c>
      <c r="D29" s="39"/>
      <c r="E29" s="247"/>
      <c r="F29" s="249"/>
      <c r="G29" s="443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68</v>
      </c>
      <c r="B30" s="44" t="s">
        <v>90</v>
      </c>
      <c r="C30" s="39">
        <v>4810000</v>
      </c>
      <c r="D30" s="39"/>
      <c r="E30" s="247"/>
      <c r="F30" s="249">
        <v>10000000</v>
      </c>
      <c r="G30" s="443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76</v>
      </c>
      <c r="B31" s="44" t="s">
        <v>200</v>
      </c>
      <c r="C31" s="39"/>
      <c r="D31" s="39"/>
      <c r="E31" s="247"/>
      <c r="F31" s="249"/>
      <c r="G31" s="443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79</v>
      </c>
      <c r="B32" s="58" t="s">
        <v>98</v>
      </c>
      <c r="C32" s="39"/>
      <c r="D32" s="39"/>
      <c r="E32" s="247"/>
      <c r="F32" s="249">
        <v>3969638</v>
      </c>
      <c r="G32" s="443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139</v>
      </c>
      <c r="B33" s="44" t="s">
        <v>97</v>
      </c>
      <c r="C33" s="39">
        <v>13010972</v>
      </c>
      <c r="D33" s="39">
        <v>2838313</v>
      </c>
      <c r="E33" s="247">
        <v>5470814</v>
      </c>
      <c r="F33" s="249"/>
      <c r="G33" s="443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48"/>
      <c r="B34" s="149"/>
      <c r="C34" s="150"/>
      <c r="D34" s="150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6" ht="30" customHeight="1">
      <c r="A35" s="152"/>
      <c r="B35" s="153"/>
      <c r="C35" s="154"/>
      <c r="D35" s="154"/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1:16" ht="30.75" customHeight="1">
      <c r="A36" s="152"/>
      <c r="B36" s="153"/>
      <c r="C36" s="154"/>
      <c r="D36" s="154"/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ht="15.75" customHeight="1">
      <c r="A37" s="152"/>
      <c r="B37" s="153"/>
      <c r="C37" s="154"/>
      <c r="D37" s="154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ht="15.75" customHeight="1" thickBot="1">
      <c r="A38" s="152"/>
      <c r="B38" s="153"/>
      <c r="C38" s="154"/>
      <c r="D38" s="154"/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ht="15.75" customHeight="1" thickBot="1">
      <c r="A39" s="681" t="s">
        <v>112</v>
      </c>
      <c r="B39" s="682" t="s">
        <v>62</v>
      </c>
      <c r="C39" s="614" t="s">
        <v>317</v>
      </c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4"/>
    </row>
    <row r="40" spans="1:16" ht="15.75" customHeight="1" thickBot="1">
      <c r="A40" s="681"/>
      <c r="B40" s="683"/>
      <c r="C40" s="649" t="s">
        <v>63</v>
      </c>
      <c r="D40" s="684"/>
      <c r="E40" s="680"/>
      <c r="F40" s="649" t="s">
        <v>64</v>
      </c>
      <c r="G40" s="680"/>
      <c r="H40" s="680"/>
      <c r="I40" s="680"/>
      <c r="J40" s="680"/>
      <c r="K40" s="680"/>
      <c r="L40" s="680"/>
      <c r="M40" s="680"/>
      <c r="N40" s="680"/>
      <c r="O40" s="680"/>
      <c r="P40" s="680"/>
    </row>
    <row r="41" spans="1:16" ht="36.75" customHeight="1" thickBot="1">
      <c r="A41" s="681"/>
      <c r="B41" s="683"/>
      <c r="C41" s="281">
        <v>2009</v>
      </c>
      <c r="D41" s="282">
        <v>2010</v>
      </c>
      <c r="E41" s="283">
        <v>2011</v>
      </c>
      <c r="F41" s="441" t="s">
        <v>340</v>
      </c>
      <c r="G41" s="442">
        <v>2013</v>
      </c>
      <c r="H41" s="281">
        <v>2014</v>
      </c>
      <c r="I41" s="281">
        <v>2015</v>
      </c>
      <c r="J41" s="281">
        <v>2016</v>
      </c>
      <c r="K41" s="281">
        <v>2017</v>
      </c>
      <c r="L41" s="281">
        <v>2018</v>
      </c>
      <c r="M41" s="281">
        <v>2019</v>
      </c>
      <c r="N41" s="281">
        <v>2020</v>
      </c>
      <c r="O41" s="281">
        <v>2021</v>
      </c>
      <c r="P41" s="281">
        <v>2022</v>
      </c>
    </row>
    <row r="42" spans="1:16" ht="14.25" customHeight="1">
      <c r="A42" s="60" t="s">
        <v>140</v>
      </c>
      <c r="B42" s="120" t="s">
        <v>203</v>
      </c>
      <c r="C42" s="42"/>
      <c r="D42" s="42"/>
      <c r="E42" s="249"/>
      <c r="F42" s="249"/>
      <c r="G42" s="443">
        <f aca="true" t="shared" si="4" ref="G42:N42">SUM(G43:G45)</f>
        <v>7316899</v>
      </c>
      <c r="H42" s="42">
        <f t="shared" si="4"/>
        <v>7156453</v>
      </c>
      <c r="I42" s="42">
        <f t="shared" si="4"/>
        <v>6200000</v>
      </c>
      <c r="J42" s="42">
        <f t="shared" si="4"/>
        <v>6300000</v>
      </c>
      <c r="K42" s="42">
        <f t="shared" si="4"/>
        <v>6901170</v>
      </c>
      <c r="L42" s="42">
        <f t="shared" si="4"/>
        <v>6062028</v>
      </c>
      <c r="M42" s="42">
        <f t="shared" si="4"/>
        <v>7850523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66</v>
      </c>
      <c r="B43" s="44" t="s">
        <v>199</v>
      </c>
      <c r="C43" s="40"/>
      <c r="D43" s="63"/>
      <c r="E43" s="247"/>
      <c r="F43" s="247"/>
      <c r="G43" s="444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68</v>
      </c>
      <c r="B44" s="44" t="s">
        <v>204</v>
      </c>
      <c r="C44" s="40"/>
      <c r="D44" s="63"/>
      <c r="E44" s="247"/>
      <c r="F44" s="247"/>
      <c r="G44" s="444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76</v>
      </c>
      <c r="B45" s="44" t="s">
        <v>91</v>
      </c>
      <c r="C45" s="40"/>
      <c r="D45" s="63"/>
      <c r="E45" s="247"/>
      <c r="F45" s="247"/>
      <c r="G45" s="444">
        <f aca="true" t="shared" si="8" ref="G45:N45">G55</f>
        <v>3000000</v>
      </c>
      <c r="H45" s="40">
        <f t="shared" si="8"/>
        <v>3000000</v>
      </c>
      <c r="I45" s="40">
        <f t="shared" si="8"/>
        <v>3000000</v>
      </c>
      <c r="J45" s="40">
        <f t="shared" si="8"/>
        <v>3000000</v>
      </c>
      <c r="K45" s="40">
        <f t="shared" si="8"/>
        <v>3000000</v>
      </c>
      <c r="L45" s="40">
        <f t="shared" si="8"/>
        <v>5000000</v>
      </c>
      <c r="M45" s="40">
        <f t="shared" si="8"/>
        <v>6600000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141</v>
      </c>
      <c r="B46" s="120" t="s">
        <v>109</v>
      </c>
      <c r="C46" s="42">
        <f>WPF!D24+WPF!D52</f>
        <v>28859761</v>
      </c>
      <c r="D46" s="42">
        <f>WPF!E24+WPF!E52</f>
        <v>10245475</v>
      </c>
      <c r="E46" s="249">
        <f>WPF!F24+WPF!F52</f>
        <v>14027077</v>
      </c>
      <c r="F46" s="249">
        <f>F49+F50+F48</f>
        <v>20904678</v>
      </c>
      <c r="G46" s="443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3" t="s">
        <v>66</v>
      </c>
      <c r="B47" s="44" t="s">
        <v>89</v>
      </c>
      <c r="C47" s="39">
        <v>6330000</v>
      </c>
      <c r="D47" s="39"/>
      <c r="E47" s="247">
        <v>2100000</v>
      </c>
      <c r="F47" s="247"/>
      <c r="G47" s="444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3" t="s">
        <v>68</v>
      </c>
      <c r="B48" s="44" t="s">
        <v>90</v>
      </c>
      <c r="C48" s="39">
        <v>4810000</v>
      </c>
      <c r="D48" s="39"/>
      <c r="E48" s="247"/>
      <c r="F48" s="247">
        <v>10000000</v>
      </c>
      <c r="G48" s="444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3" t="s">
        <v>76</v>
      </c>
      <c r="B49" s="44" t="s">
        <v>97</v>
      </c>
      <c r="C49" s="39">
        <v>14000000</v>
      </c>
      <c r="D49" s="39">
        <v>9000000</v>
      </c>
      <c r="E49" s="247">
        <v>11500000</v>
      </c>
      <c r="F49" s="247">
        <v>6900000</v>
      </c>
      <c r="G49" s="444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3" t="s">
        <v>79</v>
      </c>
      <c r="B50" s="58" t="s">
        <v>98</v>
      </c>
      <c r="C50" s="39">
        <v>3719761</v>
      </c>
      <c r="D50" s="39">
        <v>1245475</v>
      </c>
      <c r="E50" s="247">
        <v>427077</v>
      </c>
      <c r="F50" s="247">
        <v>4004678</v>
      </c>
      <c r="G50" s="444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3" t="s">
        <v>139</v>
      </c>
      <c r="B51" s="59" t="s">
        <v>99</v>
      </c>
      <c r="C51" s="39"/>
      <c r="D51" s="39"/>
      <c r="E51" s="247"/>
      <c r="F51" s="247"/>
      <c r="G51" s="444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201</v>
      </c>
      <c r="B52" s="120" t="s">
        <v>110</v>
      </c>
      <c r="C52" s="42">
        <f>WPF!D29+WPF!D34</f>
        <v>3463314</v>
      </c>
      <c r="D52" s="42">
        <f>WPF!E29+WPF!E34</f>
        <v>6980085</v>
      </c>
      <c r="E52" s="249">
        <f>WPF!F29+WPF!F34</f>
        <v>4551585</v>
      </c>
      <c r="F52" s="249">
        <f>WPF!G29+WPF!G34</f>
        <v>6935040</v>
      </c>
      <c r="G52" s="443">
        <f>WPF!H29+WPF!H34</f>
        <v>7316899</v>
      </c>
      <c r="H52" s="42">
        <f>WPF!I29+WPF!I34</f>
        <v>7156453</v>
      </c>
      <c r="I52" s="42">
        <f>WPF!J29+WPF!J34</f>
        <v>6200000</v>
      </c>
      <c r="J52" s="42">
        <f>WPF!K29+WPF!K34</f>
        <v>6300000</v>
      </c>
      <c r="K52" s="42">
        <f>WPF!L29+WPF!L34</f>
        <v>6901170</v>
      </c>
      <c r="L52" s="42">
        <f>WPF!M29+WPF!M34</f>
        <v>6062028</v>
      </c>
      <c r="M52" s="42">
        <f>WPF!N29+WPF!N34</f>
        <v>7850523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66</v>
      </c>
      <c r="B53" s="44" t="s">
        <v>89</v>
      </c>
      <c r="C53" s="40">
        <v>2963314</v>
      </c>
      <c r="D53" s="63">
        <v>3340085</v>
      </c>
      <c r="E53" s="247">
        <f>WPF!F30</f>
        <v>2141585</v>
      </c>
      <c r="F53" s="247">
        <f>WPF!G30</f>
        <v>3535040</v>
      </c>
      <c r="G53" s="444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68</v>
      </c>
      <c r="B54" s="44" t="s">
        <v>90</v>
      </c>
      <c r="C54" s="40">
        <v>500000</v>
      </c>
      <c r="D54" s="63">
        <v>3600000</v>
      </c>
      <c r="E54" s="247">
        <f>WPF!F31</f>
        <v>410000</v>
      </c>
      <c r="F54" s="247">
        <f>WPF!G31</f>
        <v>400000</v>
      </c>
      <c r="G54" s="444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76</v>
      </c>
      <c r="B55" s="44" t="s">
        <v>91</v>
      </c>
      <c r="C55" s="40"/>
      <c r="D55" s="63"/>
      <c r="E55" s="247">
        <f>WPF!F32</f>
        <v>2000000</v>
      </c>
      <c r="F55" s="247">
        <f>WPF!G32</f>
        <v>3000000</v>
      </c>
      <c r="G55" s="444">
        <f>WPF!H32</f>
        <v>3000000</v>
      </c>
      <c r="H55" s="40">
        <f>WPF!I32</f>
        <v>3000000</v>
      </c>
      <c r="I55" s="40">
        <f>WPF!J32</f>
        <v>3000000</v>
      </c>
      <c r="J55" s="40">
        <f>WPF!K32</f>
        <v>3000000</v>
      </c>
      <c r="K55" s="40">
        <f>WPF!L32</f>
        <v>3000000</v>
      </c>
      <c r="L55" s="40">
        <f>WPF!M32</f>
        <v>5000000</v>
      </c>
      <c r="M55" s="40">
        <f>WPF!N32</f>
        <v>6600000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3">
        <v>16</v>
      </c>
      <c r="B56" s="124" t="s">
        <v>142</v>
      </c>
      <c r="C56" s="125">
        <f>(WPF!D14+WPF!D24)/'Prognoza długu'!C25%</f>
        <v>116.24893719986517</v>
      </c>
      <c r="D56" s="125">
        <f>(WPF!E14+WPF!E24)/'Prognoza długu'!D25%</f>
        <v>109.50668943564182</v>
      </c>
      <c r="E56" s="251">
        <f>(WPF!F14+WPF!F24)/'Prognoza długu'!E25%</f>
        <v>106.72050576264483</v>
      </c>
      <c r="F56" s="251">
        <f>(WPF!G14+WPF!G24)/'Prognoza długu'!F25%</f>
        <v>105.1669547989319</v>
      </c>
      <c r="G56" s="445">
        <f>(WPF!H14+WPF!H24)/'Prognoza długu'!G25%</f>
        <v>100.12336095203217</v>
      </c>
      <c r="H56" s="125">
        <f>(WPF!I14+WPF!I24)/'Prognoza długu'!H25%</f>
        <v>109.7592221803837</v>
      </c>
      <c r="I56" s="125">
        <f>(WPF!J14+WPF!J24)/'Prognoza długu'!I25%</f>
        <v>111.15614627927452</v>
      </c>
      <c r="J56" s="125">
        <f>(WPF!K14+WPF!K24)/'Prognoza długu'!J25%</f>
        <v>114.6496389952978</v>
      </c>
      <c r="K56" s="125">
        <f>(WPF!L14+WPF!L24)/'Prognoza długu'!K25%</f>
        <v>117.50764124184072</v>
      </c>
      <c r="L56" s="125">
        <f>(WPF!M14+WPF!M24)/'Prognoza długu'!L25%</f>
        <v>121.13599860966171</v>
      </c>
      <c r="M56" s="125">
        <f>(WPF!N14+WPF!N24)/'Prognoza długu'!M25%</f>
        <v>125.73360316463503</v>
      </c>
      <c r="N56" s="125">
        <f>(WPF!O14+WPF!O24)/'Prognoza długu'!N25%</f>
        <v>127.54825199544156</v>
      </c>
      <c r="O56" s="125">
        <f>(WPF!P14+WPF!P24)/'Prognoza długu'!O25%</f>
        <v>131.63239562869265</v>
      </c>
      <c r="P56" s="125">
        <f>(WPF!Q14+WPF!Q24)/'Prognoza długu'!P25%</f>
        <v>133.43234662900127</v>
      </c>
    </row>
    <row r="57" spans="1:16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A6:P6"/>
    <mergeCell ref="A7:A9"/>
    <mergeCell ref="B7:B9"/>
    <mergeCell ref="C7:P7"/>
    <mergeCell ref="C8:E8"/>
    <mergeCell ref="F8:P8"/>
    <mergeCell ref="A39:A41"/>
    <mergeCell ref="B39:B41"/>
    <mergeCell ref="C39:P39"/>
    <mergeCell ref="C40:E40"/>
    <mergeCell ref="F40:P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="80" zoomScaleNormal="80" zoomScalePageLayoutView="75" workbookViewId="0" topLeftCell="A1">
      <selection activeCell="B32" sqref="B32"/>
    </sheetView>
  </sheetViews>
  <sheetFormatPr defaultColWidth="11.57421875" defaultRowHeight="12.75"/>
  <cols>
    <col min="1" max="1" width="6.57421875" style="0" customWidth="1"/>
    <col min="2" max="2" width="40.00390625" style="0" customWidth="1"/>
    <col min="3" max="3" width="10.421875" style="24" customWidth="1"/>
    <col min="4" max="5" width="8.28125" style="24" customWidth="1"/>
    <col min="6" max="6" width="8.7109375" style="24" customWidth="1"/>
    <col min="7" max="8" width="8.8515625" style="24" customWidth="1"/>
    <col min="9" max="9" width="17.7109375" style="24" customWidth="1"/>
    <col min="10" max="10" width="15.8515625" style="24" customWidth="1"/>
    <col min="11" max="11" width="16.140625" style="24" customWidth="1"/>
    <col min="12" max="12" width="16.28125" style="24" customWidth="1"/>
    <col min="13" max="13" width="15.8515625" style="24" customWidth="1"/>
    <col min="14" max="14" width="12.8515625" style="24" customWidth="1"/>
    <col min="15" max="15" width="15.57421875" style="0" customWidth="1"/>
    <col min="16" max="16" width="13.8515625" style="0" bestFit="1" customWidth="1"/>
    <col min="17" max="17" width="11.8515625" style="0" bestFit="1" customWidth="1"/>
  </cols>
  <sheetData>
    <row r="1" spans="1:15" s="26" customFormat="1" ht="15" customHeight="1">
      <c r="A1" s="236"/>
      <c r="B1" s="127"/>
      <c r="C1" s="127"/>
      <c r="D1" s="127"/>
      <c r="E1" s="127"/>
      <c r="F1" s="127"/>
      <c r="G1" s="128"/>
      <c r="H1" s="127"/>
      <c r="I1" s="127"/>
      <c r="J1" s="127"/>
      <c r="K1" s="127"/>
      <c r="L1" s="47" t="s">
        <v>143</v>
      </c>
      <c r="M1" s="47"/>
      <c r="N1" s="47"/>
      <c r="O1" s="127"/>
    </row>
    <row r="2" spans="1:15" s="28" customFormat="1" ht="4.5" customHeight="1">
      <c r="A2" s="236"/>
      <c r="B2" s="127"/>
      <c r="C2" s="127"/>
      <c r="D2" s="127"/>
      <c r="E2" s="127"/>
      <c r="F2" s="127"/>
      <c r="G2" s="129"/>
      <c r="H2" s="127"/>
      <c r="I2" s="127"/>
      <c r="J2" s="127"/>
      <c r="K2" s="127"/>
      <c r="L2" s="52"/>
      <c r="M2" s="53"/>
      <c r="N2" s="53"/>
      <c r="O2" s="127"/>
    </row>
    <row r="3" spans="1:15" s="28" customFormat="1" ht="12.75" customHeight="1">
      <c r="A3" s="236"/>
      <c r="B3" s="127"/>
      <c r="C3" s="127"/>
      <c r="D3" s="127"/>
      <c r="E3" s="127"/>
      <c r="F3" s="127"/>
      <c r="G3" s="130"/>
      <c r="H3" s="127"/>
      <c r="I3" s="127"/>
      <c r="J3" s="127"/>
      <c r="K3" s="127"/>
      <c r="L3" s="57" t="s">
        <v>338</v>
      </c>
      <c r="M3" s="53"/>
      <c r="N3" s="53"/>
      <c r="O3" s="127"/>
    </row>
    <row r="4" spans="1:15" s="28" customFormat="1" ht="12.75" customHeight="1">
      <c r="A4" s="236"/>
      <c r="B4" s="127"/>
      <c r="C4" s="127"/>
      <c r="D4" s="127"/>
      <c r="E4" s="127"/>
      <c r="F4" s="127"/>
      <c r="G4" s="130"/>
      <c r="H4" s="127"/>
      <c r="I4" s="127"/>
      <c r="J4" s="127"/>
      <c r="K4" s="127"/>
      <c r="L4" s="57" t="s">
        <v>49</v>
      </c>
      <c r="M4" s="53"/>
      <c r="N4" s="53"/>
      <c r="O4" s="127"/>
    </row>
    <row r="5" spans="1:15" s="28" customFormat="1" ht="16.5" customHeight="1">
      <c r="A5" s="236"/>
      <c r="B5" s="127"/>
      <c r="C5" s="127"/>
      <c r="D5" s="127"/>
      <c r="E5" s="127"/>
      <c r="F5" s="127"/>
      <c r="G5" s="130"/>
      <c r="H5" s="127"/>
      <c r="I5" s="127"/>
      <c r="J5" s="127"/>
      <c r="K5" s="127"/>
      <c r="L5" s="57" t="s">
        <v>339</v>
      </c>
      <c r="M5" s="53"/>
      <c r="N5" s="53"/>
      <c r="O5" s="127"/>
    </row>
    <row r="6" spans="1:15" s="28" customFormat="1" ht="9" customHeight="1">
      <c r="A6" s="236"/>
      <c r="B6" s="127"/>
      <c r="C6" s="127"/>
      <c r="D6" s="127"/>
      <c r="E6" s="127"/>
      <c r="F6" s="127"/>
      <c r="G6" s="130"/>
      <c r="H6" s="127"/>
      <c r="I6" s="127"/>
      <c r="J6" s="127"/>
      <c r="K6" s="127"/>
      <c r="L6" s="57"/>
      <c r="M6" s="53"/>
      <c r="N6" s="53"/>
      <c r="O6" s="127"/>
    </row>
    <row r="7" spans="1:15" s="28" customFormat="1" ht="12.75" customHeight="1">
      <c r="A7" s="714" t="s">
        <v>385</v>
      </c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6"/>
      <c r="O7" s="717"/>
    </row>
    <row r="8" spans="1:15" s="28" customFormat="1" ht="12.75" customHeight="1" thickBot="1">
      <c r="A8" s="718"/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20"/>
      <c r="O8" s="721"/>
    </row>
    <row r="9" spans="1:15" s="28" customFormat="1" ht="12.75" customHeight="1">
      <c r="A9" s="725" t="s">
        <v>112</v>
      </c>
      <c r="B9" s="733" t="s">
        <v>144</v>
      </c>
      <c r="C9" s="736" t="s">
        <v>145</v>
      </c>
      <c r="D9" s="722" t="s">
        <v>223</v>
      </c>
      <c r="E9" s="722"/>
      <c r="F9" s="722" t="s">
        <v>146</v>
      </c>
      <c r="G9" s="722"/>
      <c r="H9" s="722"/>
      <c r="I9" s="729" t="s">
        <v>147</v>
      </c>
      <c r="J9" s="688"/>
      <c r="K9" s="689"/>
      <c r="L9" s="689"/>
      <c r="M9" s="689"/>
      <c r="N9" s="690"/>
      <c r="O9" s="745" t="s">
        <v>148</v>
      </c>
    </row>
    <row r="10" spans="1:15" s="28" customFormat="1" ht="11.25" customHeight="1">
      <c r="A10" s="726"/>
      <c r="B10" s="734"/>
      <c r="C10" s="737"/>
      <c r="D10" s="723"/>
      <c r="E10" s="723"/>
      <c r="F10" s="723"/>
      <c r="G10" s="723"/>
      <c r="H10" s="723"/>
      <c r="I10" s="730"/>
      <c r="J10" s="691">
        <v>2013</v>
      </c>
      <c r="K10" s="691">
        <v>2014</v>
      </c>
      <c r="L10" s="691">
        <v>2015</v>
      </c>
      <c r="M10" s="691">
        <v>2016</v>
      </c>
      <c r="N10" s="691">
        <v>2017</v>
      </c>
      <c r="O10" s="746"/>
    </row>
    <row r="11" spans="1:15" s="28" customFormat="1" ht="11.25" customHeight="1">
      <c r="A11" s="727"/>
      <c r="B11" s="735"/>
      <c r="C11" s="738"/>
      <c r="D11" s="700" t="s">
        <v>149</v>
      </c>
      <c r="E11" s="700" t="s">
        <v>150</v>
      </c>
      <c r="F11" s="700" t="s">
        <v>151</v>
      </c>
      <c r="G11" s="700" t="s">
        <v>152</v>
      </c>
      <c r="H11" s="700" t="s">
        <v>153</v>
      </c>
      <c r="I11" s="731"/>
      <c r="J11" s="702"/>
      <c r="K11" s="702"/>
      <c r="L11" s="702"/>
      <c r="M11" s="702"/>
      <c r="N11" s="692"/>
      <c r="O11" s="747"/>
    </row>
    <row r="12" spans="1:15" s="28" customFormat="1" ht="13.5" customHeight="1" thickBot="1">
      <c r="A12" s="728"/>
      <c r="B12" s="732"/>
      <c r="C12" s="739"/>
      <c r="D12" s="701"/>
      <c r="E12" s="701"/>
      <c r="F12" s="701"/>
      <c r="G12" s="701"/>
      <c r="H12" s="701"/>
      <c r="I12" s="732"/>
      <c r="J12" s="703"/>
      <c r="K12" s="703"/>
      <c r="L12" s="703"/>
      <c r="M12" s="703"/>
      <c r="N12" s="693"/>
      <c r="O12" s="748"/>
    </row>
    <row r="13" spans="1:16" s="352" customFormat="1" ht="26.25" customHeight="1">
      <c r="A13" s="481"/>
      <c r="B13" s="482" t="s">
        <v>154</v>
      </c>
      <c r="C13" s="483" t="s">
        <v>81</v>
      </c>
      <c r="D13" s="483" t="s">
        <v>81</v>
      </c>
      <c r="E13" s="483" t="s">
        <v>81</v>
      </c>
      <c r="F13" s="483"/>
      <c r="G13" s="483"/>
      <c r="H13" s="483"/>
      <c r="I13" s="484">
        <f aca="true" t="shared" si="0" ref="I13:N13">I14+I15</f>
        <v>145536646</v>
      </c>
      <c r="J13" s="484">
        <f t="shared" si="0"/>
        <v>53460236</v>
      </c>
      <c r="K13" s="484">
        <f t="shared" si="0"/>
        <v>29093918</v>
      </c>
      <c r="L13" s="484">
        <f t="shared" si="0"/>
        <v>12718200</v>
      </c>
      <c r="M13" s="484">
        <f t="shared" si="0"/>
        <v>12891400</v>
      </c>
      <c r="N13" s="484">
        <f t="shared" si="0"/>
        <v>11400000</v>
      </c>
      <c r="O13" s="485">
        <f aca="true" t="shared" si="1" ref="O13:O18">SUM(J13:N13)</f>
        <v>119563754</v>
      </c>
      <c r="P13" s="351">
        <f>O14+O15</f>
        <v>119563754</v>
      </c>
    </row>
    <row r="14" spans="1:15" s="29" customFormat="1" ht="29.25" customHeight="1">
      <c r="A14" s="365"/>
      <c r="B14" s="131" t="s">
        <v>155</v>
      </c>
      <c r="C14" s="75" t="s">
        <v>81</v>
      </c>
      <c r="D14" s="75" t="s">
        <v>81</v>
      </c>
      <c r="E14" s="75" t="s">
        <v>81</v>
      </c>
      <c r="F14" s="75"/>
      <c r="G14" s="75"/>
      <c r="H14" s="75"/>
      <c r="I14" s="132">
        <f aca="true" t="shared" si="2" ref="I14:N14">I86</f>
        <v>43215898</v>
      </c>
      <c r="J14" s="132">
        <f t="shared" si="2"/>
        <v>16302880</v>
      </c>
      <c r="K14" s="132">
        <f t="shared" si="2"/>
        <v>13694418</v>
      </c>
      <c r="L14" s="132">
        <f t="shared" si="2"/>
        <v>9412200</v>
      </c>
      <c r="M14" s="132">
        <f t="shared" si="2"/>
        <v>3806400</v>
      </c>
      <c r="N14" s="132">
        <f t="shared" si="2"/>
        <v>0</v>
      </c>
      <c r="O14" s="569">
        <f t="shared" si="1"/>
        <v>43215898</v>
      </c>
    </row>
    <row r="15" spans="1:16" s="29" customFormat="1" ht="29.25" customHeight="1">
      <c r="A15" s="365"/>
      <c r="B15" s="131" t="s">
        <v>156</v>
      </c>
      <c r="C15" s="75" t="s">
        <v>81</v>
      </c>
      <c r="D15" s="75" t="s">
        <v>81</v>
      </c>
      <c r="E15" s="75" t="s">
        <v>81</v>
      </c>
      <c r="F15" s="75"/>
      <c r="G15" s="75"/>
      <c r="H15" s="75"/>
      <c r="I15" s="132">
        <f aca="true" t="shared" si="3" ref="I15:N16">I16</f>
        <v>102320748</v>
      </c>
      <c r="J15" s="132">
        <f t="shared" si="3"/>
        <v>37157356</v>
      </c>
      <c r="K15" s="132">
        <f t="shared" si="3"/>
        <v>15399500</v>
      </c>
      <c r="L15" s="132">
        <f t="shared" si="3"/>
        <v>3306000</v>
      </c>
      <c r="M15" s="132">
        <f t="shared" si="3"/>
        <v>9085000</v>
      </c>
      <c r="N15" s="132">
        <f t="shared" si="3"/>
        <v>11400000</v>
      </c>
      <c r="O15" s="569">
        <f t="shared" si="1"/>
        <v>76347856</v>
      </c>
      <c r="P15" s="279"/>
    </row>
    <row r="16" spans="1:16" s="354" customFormat="1" ht="39.75" customHeight="1">
      <c r="A16" s="486" t="s">
        <v>157</v>
      </c>
      <c r="B16" s="487" t="s">
        <v>333</v>
      </c>
      <c r="C16" s="488" t="s">
        <v>81</v>
      </c>
      <c r="D16" s="488" t="s">
        <v>81</v>
      </c>
      <c r="E16" s="488" t="s">
        <v>81</v>
      </c>
      <c r="F16" s="488"/>
      <c r="G16" s="488"/>
      <c r="H16" s="488"/>
      <c r="I16" s="489">
        <f>I17</f>
        <v>102320748</v>
      </c>
      <c r="J16" s="489">
        <f t="shared" si="3"/>
        <v>37157356</v>
      </c>
      <c r="K16" s="489">
        <f>K17</f>
        <v>15399500</v>
      </c>
      <c r="L16" s="489">
        <f>L17</f>
        <v>3306000</v>
      </c>
      <c r="M16" s="489">
        <f>M17</f>
        <v>9085000</v>
      </c>
      <c r="N16" s="489">
        <f>N17</f>
        <v>11400000</v>
      </c>
      <c r="O16" s="485">
        <f t="shared" si="1"/>
        <v>76347856</v>
      </c>
      <c r="P16" s="353"/>
    </row>
    <row r="17" spans="1:19" s="29" customFormat="1" ht="26.25" customHeight="1">
      <c r="A17" s="365"/>
      <c r="B17" s="131" t="s">
        <v>156</v>
      </c>
      <c r="C17" s="75" t="s">
        <v>81</v>
      </c>
      <c r="D17" s="75" t="s">
        <v>81</v>
      </c>
      <c r="E17" s="75" t="s">
        <v>81</v>
      </c>
      <c r="F17" s="75"/>
      <c r="G17" s="75"/>
      <c r="H17" s="75"/>
      <c r="I17" s="132">
        <f aca="true" t="shared" si="4" ref="I17:N17">I19+I49</f>
        <v>102320748</v>
      </c>
      <c r="J17" s="132">
        <f t="shared" si="4"/>
        <v>37157356</v>
      </c>
      <c r="K17" s="132">
        <f t="shared" si="4"/>
        <v>15399500</v>
      </c>
      <c r="L17" s="132">
        <f t="shared" si="4"/>
        <v>3306000</v>
      </c>
      <c r="M17" s="132">
        <f t="shared" si="4"/>
        <v>9085000</v>
      </c>
      <c r="N17" s="132">
        <f t="shared" si="4"/>
        <v>11400000</v>
      </c>
      <c r="O17" s="569">
        <f t="shared" si="1"/>
        <v>76347856</v>
      </c>
      <c r="P17" s="234">
        <f>O20+O31+O38+O48</f>
        <v>76347856</v>
      </c>
      <c r="Q17" s="234"/>
      <c r="R17" s="31"/>
      <c r="S17" s="31"/>
    </row>
    <row r="18" spans="1:26" s="357" customFormat="1" ht="62.25" customHeight="1">
      <c r="A18" s="486" t="s">
        <v>158</v>
      </c>
      <c r="B18" s="487" t="s">
        <v>159</v>
      </c>
      <c r="C18" s="488" t="s">
        <v>81</v>
      </c>
      <c r="D18" s="488" t="s">
        <v>81</v>
      </c>
      <c r="E18" s="488" t="s">
        <v>81</v>
      </c>
      <c r="F18" s="488"/>
      <c r="G18" s="488"/>
      <c r="H18" s="488"/>
      <c r="I18" s="489">
        <f aca="true" t="shared" si="5" ref="I18:N18">I19</f>
        <v>86525457</v>
      </c>
      <c r="J18" s="489">
        <f t="shared" si="5"/>
        <v>28662674</v>
      </c>
      <c r="K18" s="489">
        <f t="shared" si="5"/>
        <v>13011649</v>
      </c>
      <c r="L18" s="489">
        <f t="shared" si="5"/>
        <v>2360000</v>
      </c>
      <c r="M18" s="489">
        <f t="shared" si="5"/>
        <v>8745000</v>
      </c>
      <c r="N18" s="489">
        <f t="shared" si="5"/>
        <v>11400000</v>
      </c>
      <c r="O18" s="485">
        <f t="shared" si="1"/>
        <v>64179323</v>
      </c>
      <c r="P18" s="355"/>
      <c r="Q18" s="355"/>
      <c r="R18" s="355"/>
      <c r="S18" s="355"/>
      <c r="T18" s="356"/>
      <c r="U18" s="356"/>
      <c r="V18" s="356"/>
      <c r="W18" s="356"/>
      <c r="X18" s="356"/>
      <c r="Y18" s="356"/>
      <c r="Z18" s="356"/>
    </row>
    <row r="19" spans="1:16" s="29" customFormat="1" ht="21.75" customHeight="1">
      <c r="A19" s="365"/>
      <c r="B19" s="131" t="s">
        <v>156</v>
      </c>
      <c r="C19" s="75" t="s">
        <v>81</v>
      </c>
      <c r="D19" s="75" t="s">
        <v>81</v>
      </c>
      <c r="E19" s="75" t="s">
        <v>81</v>
      </c>
      <c r="F19" s="75"/>
      <c r="G19" s="75"/>
      <c r="H19" s="75"/>
      <c r="I19" s="132">
        <f aca="true" t="shared" si="6" ref="I19:N19">I20+I31+I38</f>
        <v>86525457</v>
      </c>
      <c r="J19" s="132">
        <f t="shared" si="6"/>
        <v>28662674</v>
      </c>
      <c r="K19" s="132">
        <f t="shared" si="6"/>
        <v>13011649</v>
      </c>
      <c r="L19" s="132">
        <f t="shared" si="6"/>
        <v>2360000</v>
      </c>
      <c r="M19" s="132">
        <f t="shared" si="6"/>
        <v>8745000</v>
      </c>
      <c r="N19" s="132">
        <f t="shared" si="6"/>
        <v>11400000</v>
      </c>
      <c r="O19" s="367">
        <f>O20+O31+O38</f>
        <v>64179323</v>
      </c>
      <c r="P19" s="232">
        <f>SUM(J19:M19)+N19</f>
        <v>64179323</v>
      </c>
    </row>
    <row r="20" spans="1:16" s="359" customFormat="1" ht="30.75" customHeight="1">
      <c r="A20" s="474" t="s">
        <v>160</v>
      </c>
      <c r="B20" s="475" t="s">
        <v>161</v>
      </c>
      <c r="C20" s="476" t="s">
        <v>162</v>
      </c>
      <c r="D20" s="472">
        <v>2004</v>
      </c>
      <c r="E20" s="472">
        <v>2016</v>
      </c>
      <c r="F20" s="743" t="s">
        <v>224</v>
      </c>
      <c r="G20" s="743"/>
      <c r="H20" s="743"/>
      <c r="I20" s="473">
        <f>I21+I25+I29+I30</f>
        <v>9427290</v>
      </c>
      <c r="J20" s="473">
        <f>J21+J25+J29+J30</f>
        <v>2795510</v>
      </c>
      <c r="K20" s="473">
        <f>K21+K25+K29+K30</f>
        <v>650000</v>
      </c>
      <c r="L20" s="473">
        <f>L21+L25+L29+L30</f>
        <v>1350000</v>
      </c>
      <c r="M20" s="473">
        <f>M21+M25+M29+M30</f>
        <v>1450000</v>
      </c>
      <c r="N20" s="541"/>
      <c r="O20" s="477">
        <f>O25+O21+SUM(O29:O29,O30)</f>
        <v>6245510</v>
      </c>
      <c r="P20" s="358">
        <f>SUM(J20:M20)</f>
        <v>6245510</v>
      </c>
    </row>
    <row r="21" spans="1:16" s="19" customFormat="1" ht="25.5" customHeight="1">
      <c r="A21" s="368" t="s">
        <v>163</v>
      </c>
      <c r="B21" s="750" t="s">
        <v>164</v>
      </c>
      <c r="C21" s="280" t="s">
        <v>165</v>
      </c>
      <c r="D21" s="348">
        <v>2004</v>
      </c>
      <c r="E21" s="348">
        <v>2016</v>
      </c>
      <c r="F21" s="744" t="s">
        <v>166</v>
      </c>
      <c r="G21" s="744"/>
      <c r="H21" s="744"/>
      <c r="I21" s="134">
        <f>SUM(I22:I24)</f>
        <v>7830767</v>
      </c>
      <c r="J21" s="134">
        <f>SUM(J22:J24)</f>
        <v>2035000</v>
      </c>
      <c r="K21" s="134">
        <f>SUM(K22:K24)</f>
        <v>550000</v>
      </c>
      <c r="L21" s="134">
        <f>SUM(L22:L24)</f>
        <v>1250000</v>
      </c>
      <c r="M21" s="134">
        <f>SUM(M22:M24)</f>
        <v>1450000</v>
      </c>
      <c r="N21" s="519"/>
      <c r="O21" s="366">
        <f>SUM(J21:M21)</f>
        <v>5285000</v>
      </c>
      <c r="P21" s="23">
        <f>SUM(O22:O24)</f>
        <v>5285000</v>
      </c>
    </row>
    <row r="22" spans="1:15" s="19" customFormat="1" ht="24.75" customHeight="1">
      <c r="A22" s="369"/>
      <c r="B22" s="751"/>
      <c r="C22" s="342"/>
      <c r="D22" s="342"/>
      <c r="E22" s="342"/>
      <c r="F22" s="517" t="s">
        <v>167</v>
      </c>
      <c r="G22" s="517" t="s">
        <v>168</v>
      </c>
      <c r="H22" s="517">
        <v>6050</v>
      </c>
      <c r="I22" s="518">
        <f>O22+2545767</f>
        <v>7830767</v>
      </c>
      <c r="J22" s="237">
        <v>2035000</v>
      </c>
      <c r="K22" s="520">
        <v>550000</v>
      </c>
      <c r="L22" s="520">
        <v>1250000</v>
      </c>
      <c r="M22" s="237">
        <v>1450000</v>
      </c>
      <c r="N22" s="542"/>
      <c r="O22" s="396">
        <f>SUM(J22:M22)</f>
        <v>5285000</v>
      </c>
    </row>
    <row r="23" spans="1:15" s="19" customFormat="1" ht="4.5" customHeight="1">
      <c r="A23" s="369"/>
      <c r="B23" s="347"/>
      <c r="C23" s="342"/>
      <c r="D23" s="342"/>
      <c r="E23" s="342"/>
      <c r="F23" s="431"/>
      <c r="G23" s="431"/>
      <c r="H23" s="431"/>
      <c r="I23" s="449"/>
      <c r="J23" s="450"/>
      <c r="K23" s="450"/>
      <c r="L23" s="451"/>
      <c r="M23" s="450"/>
      <c r="N23" s="543"/>
      <c r="O23" s="521"/>
    </row>
    <row r="24" spans="1:15" s="19" customFormat="1" ht="6" customHeight="1">
      <c r="A24" s="370"/>
      <c r="B24" s="238"/>
      <c r="C24" s="343"/>
      <c r="D24" s="343"/>
      <c r="E24" s="343"/>
      <c r="F24" s="343"/>
      <c r="G24" s="343"/>
      <c r="H24" s="343"/>
      <c r="I24" s="465"/>
      <c r="J24" s="522"/>
      <c r="K24" s="523"/>
      <c r="L24" s="523"/>
      <c r="M24" s="523"/>
      <c r="N24" s="544"/>
      <c r="O24" s="466"/>
    </row>
    <row r="25" spans="1:16" s="19" customFormat="1" ht="25.5" customHeight="1">
      <c r="A25" s="368" t="s">
        <v>169</v>
      </c>
      <c r="B25" s="750" t="s">
        <v>170</v>
      </c>
      <c r="C25" s="280" t="s">
        <v>165</v>
      </c>
      <c r="D25" s="280">
        <v>2004</v>
      </c>
      <c r="E25" s="280">
        <v>2013</v>
      </c>
      <c r="F25" s="744" t="s">
        <v>166</v>
      </c>
      <c r="G25" s="744"/>
      <c r="H25" s="744"/>
      <c r="I25" s="134">
        <f>SUM(I26:I28)</f>
        <v>1298498</v>
      </c>
      <c r="J25" s="134">
        <f>SUM(J26:J28)</f>
        <v>700000</v>
      </c>
      <c r="K25" s="134">
        <f>SUM(K26:K28)</f>
        <v>0</v>
      </c>
      <c r="L25" s="348">
        <v>0</v>
      </c>
      <c r="M25" s="348">
        <v>0</v>
      </c>
      <c r="N25" s="545"/>
      <c r="O25" s="366">
        <f>SUM(J25:L25)</f>
        <v>700000</v>
      </c>
      <c r="P25" s="23">
        <f>O26+O27+O28</f>
        <v>700000</v>
      </c>
    </row>
    <row r="26" spans="1:16" s="19" customFormat="1" ht="23.25" customHeight="1">
      <c r="A26" s="369"/>
      <c r="B26" s="751"/>
      <c r="C26" s="342"/>
      <c r="D26" s="342"/>
      <c r="E26" s="342"/>
      <c r="F26" s="517" t="s">
        <v>167</v>
      </c>
      <c r="G26" s="517" t="s">
        <v>168</v>
      </c>
      <c r="H26" s="517">
        <v>6050</v>
      </c>
      <c r="I26" s="518">
        <f>O26+598498</f>
        <v>1298498</v>
      </c>
      <c r="J26" s="237">
        <v>700000</v>
      </c>
      <c r="K26" s="520"/>
      <c r="L26" s="520"/>
      <c r="M26" s="520"/>
      <c r="N26" s="546"/>
      <c r="O26" s="396">
        <f>SUM(J26:L26)</f>
        <v>700000</v>
      </c>
      <c r="P26" s="23" t="e">
        <f>#REF!+#REF!</f>
        <v>#REF!</v>
      </c>
    </row>
    <row r="27" spans="1:15" s="19" customFormat="1" ht="5.25" customHeight="1">
      <c r="A27" s="369"/>
      <c r="B27" s="239"/>
      <c r="C27" s="342"/>
      <c r="D27" s="342"/>
      <c r="E27" s="342"/>
      <c r="F27" s="431"/>
      <c r="G27" s="431"/>
      <c r="H27" s="431"/>
      <c r="I27" s="449"/>
      <c r="J27" s="450"/>
      <c r="K27" s="450"/>
      <c r="L27" s="451"/>
      <c r="M27" s="451"/>
      <c r="N27" s="547"/>
      <c r="O27" s="521"/>
    </row>
    <row r="28" spans="1:15" s="19" customFormat="1" ht="7.5" customHeight="1">
      <c r="A28" s="370"/>
      <c r="B28" s="238"/>
      <c r="C28" s="235"/>
      <c r="D28" s="235"/>
      <c r="E28" s="343"/>
      <c r="F28" s="343"/>
      <c r="G28" s="343"/>
      <c r="H28" s="343"/>
      <c r="I28" s="465"/>
      <c r="J28" s="522"/>
      <c r="K28" s="522"/>
      <c r="L28" s="523"/>
      <c r="M28" s="523"/>
      <c r="N28" s="544"/>
      <c r="O28" s="466"/>
    </row>
    <row r="29" spans="1:15" s="19" customFormat="1" ht="42.75" customHeight="1">
      <c r="A29" s="371" t="s">
        <v>353</v>
      </c>
      <c r="B29" s="372" t="s">
        <v>294</v>
      </c>
      <c r="C29" s="373" t="s">
        <v>245</v>
      </c>
      <c r="D29" s="374">
        <v>2012</v>
      </c>
      <c r="E29" s="374">
        <v>2015</v>
      </c>
      <c r="F29" s="374">
        <v>900</v>
      </c>
      <c r="G29" s="374">
        <v>90001</v>
      </c>
      <c r="H29" s="374">
        <v>6050</v>
      </c>
      <c r="I29" s="375">
        <f>O29+37515</f>
        <v>147515</v>
      </c>
      <c r="J29" s="376">
        <v>10000</v>
      </c>
      <c r="K29" s="377">
        <v>50000</v>
      </c>
      <c r="L29" s="376">
        <v>50000</v>
      </c>
      <c r="M29" s="376"/>
      <c r="N29" s="548"/>
      <c r="O29" s="378">
        <f>SUM(J29:M29)</f>
        <v>110000</v>
      </c>
    </row>
    <row r="30" spans="1:15" s="19" customFormat="1" ht="47.25" customHeight="1">
      <c r="A30" s="369" t="s">
        <v>354</v>
      </c>
      <c r="B30" s="241" t="s">
        <v>295</v>
      </c>
      <c r="C30" s="430" t="s">
        <v>245</v>
      </c>
      <c r="D30" s="431">
        <v>2013</v>
      </c>
      <c r="E30" s="431">
        <v>2015</v>
      </c>
      <c r="F30" s="431">
        <v>900</v>
      </c>
      <c r="G30" s="431">
        <v>90001</v>
      </c>
      <c r="H30" s="431">
        <v>6050</v>
      </c>
      <c r="I30" s="449">
        <f>O30</f>
        <v>150510</v>
      </c>
      <c r="J30" s="450">
        <v>50510</v>
      </c>
      <c r="K30" s="451">
        <v>50000</v>
      </c>
      <c r="L30" s="450">
        <v>50000</v>
      </c>
      <c r="M30" s="450"/>
      <c r="N30" s="543"/>
      <c r="O30" s="384">
        <f>SUM(J30:M30)</f>
        <v>150510</v>
      </c>
    </row>
    <row r="31" spans="1:17" s="354" customFormat="1" ht="35.25" customHeight="1">
      <c r="A31" s="468" t="s">
        <v>171</v>
      </c>
      <c r="B31" s="469" t="s">
        <v>172</v>
      </c>
      <c r="C31" s="470" t="s">
        <v>162</v>
      </c>
      <c r="D31" s="470">
        <v>2010</v>
      </c>
      <c r="E31" s="470">
        <v>2015</v>
      </c>
      <c r="F31" s="749" t="s">
        <v>224</v>
      </c>
      <c r="G31" s="749"/>
      <c r="H31" s="749"/>
      <c r="I31" s="471">
        <f aca="true" t="shared" si="7" ref="I31:O31">SUM(I32:I36)</f>
        <v>4407401</v>
      </c>
      <c r="J31" s="471">
        <f t="shared" si="7"/>
        <v>1064722</v>
      </c>
      <c r="K31" s="471">
        <f t="shared" si="7"/>
        <v>2161649</v>
      </c>
      <c r="L31" s="471">
        <f t="shared" si="7"/>
        <v>1010000</v>
      </c>
      <c r="M31" s="471">
        <f t="shared" si="7"/>
        <v>0</v>
      </c>
      <c r="N31" s="471">
        <f t="shared" si="7"/>
        <v>0</v>
      </c>
      <c r="O31" s="471">
        <f t="shared" si="7"/>
        <v>4236371</v>
      </c>
      <c r="P31" s="353">
        <f>SUM(J31:M31)</f>
        <v>4236371</v>
      </c>
      <c r="Q31" s="353">
        <f>P31-O31</f>
        <v>0</v>
      </c>
    </row>
    <row r="32" spans="1:16" s="30" customFormat="1" ht="26.25" customHeight="1">
      <c r="A32" s="379" t="s">
        <v>173</v>
      </c>
      <c r="B32" s="241" t="s">
        <v>387</v>
      </c>
      <c r="C32" s="280" t="s">
        <v>175</v>
      </c>
      <c r="D32" s="280">
        <v>2013</v>
      </c>
      <c r="E32" s="280">
        <v>2014</v>
      </c>
      <c r="F32" s="280">
        <v>900</v>
      </c>
      <c r="G32" s="280">
        <v>90015</v>
      </c>
      <c r="H32" s="280">
        <v>6050</v>
      </c>
      <c r="I32" s="43">
        <f>J32+K32</f>
        <v>60000</v>
      </c>
      <c r="J32" s="134">
        <v>30000</v>
      </c>
      <c r="K32" s="134">
        <v>30000</v>
      </c>
      <c r="L32" s="348">
        <v>0</v>
      </c>
      <c r="M32" s="348">
        <v>0</v>
      </c>
      <c r="N32" s="545"/>
      <c r="O32" s="366">
        <f>SUM(J32:M32)</f>
        <v>60000</v>
      </c>
      <c r="P32" s="32"/>
    </row>
    <row r="33" spans="1:16" s="30" customFormat="1" ht="36.75" customHeight="1">
      <c r="A33" s="379" t="s">
        <v>176</v>
      </c>
      <c r="B33" s="241" t="s">
        <v>230</v>
      </c>
      <c r="C33" s="280" t="s">
        <v>175</v>
      </c>
      <c r="D33" s="280">
        <v>2011</v>
      </c>
      <c r="E33" s="280">
        <v>2013</v>
      </c>
      <c r="F33" s="280">
        <v>900</v>
      </c>
      <c r="G33" s="280">
        <v>90015</v>
      </c>
      <c r="H33" s="280">
        <v>6050</v>
      </c>
      <c r="I33" s="43">
        <f>9645+2000+O33</f>
        <v>138645</v>
      </c>
      <c r="J33" s="134">
        <v>127000</v>
      </c>
      <c r="K33" s="594">
        <v>0</v>
      </c>
      <c r="L33" s="594">
        <v>0</v>
      </c>
      <c r="M33" s="594">
        <v>0</v>
      </c>
      <c r="N33" s="545"/>
      <c r="O33" s="366">
        <f>SUM(J33:M33)</f>
        <v>127000</v>
      </c>
      <c r="P33" s="32"/>
    </row>
    <row r="34" spans="1:15" s="19" customFormat="1" ht="29.25" customHeight="1">
      <c r="A34" s="379" t="s">
        <v>177</v>
      </c>
      <c r="B34" s="266" t="s">
        <v>174</v>
      </c>
      <c r="C34" s="280" t="s">
        <v>175</v>
      </c>
      <c r="D34" s="343">
        <v>2010</v>
      </c>
      <c r="E34" s="343">
        <v>2014</v>
      </c>
      <c r="F34" s="280">
        <v>921</v>
      </c>
      <c r="G34" s="280">
        <v>92109</v>
      </c>
      <c r="H34" s="280">
        <v>6050</v>
      </c>
      <c r="I34" s="43">
        <f>J34+K34+4880+85000</f>
        <v>294096</v>
      </c>
      <c r="J34" s="135">
        <v>100000</v>
      </c>
      <c r="K34" s="135">
        <v>104216</v>
      </c>
      <c r="L34" s="136"/>
      <c r="M34" s="136"/>
      <c r="N34" s="546"/>
      <c r="O34" s="366">
        <f>SUM(J34:M34)</f>
        <v>204216</v>
      </c>
    </row>
    <row r="35" spans="1:15" s="19" customFormat="1" ht="30.75" customHeight="1">
      <c r="A35" s="379" t="s">
        <v>352</v>
      </c>
      <c r="B35" s="44" t="s">
        <v>178</v>
      </c>
      <c r="C35" s="280" t="s">
        <v>175</v>
      </c>
      <c r="D35" s="280">
        <v>2010</v>
      </c>
      <c r="E35" s="280">
        <v>2015</v>
      </c>
      <c r="F35" s="280">
        <v>921</v>
      </c>
      <c r="G35" s="280">
        <v>92109</v>
      </c>
      <c r="H35" s="280">
        <v>6050</v>
      </c>
      <c r="I35" s="43">
        <f>J35+K35+64660+L35</f>
        <v>314660</v>
      </c>
      <c r="J35" s="135">
        <v>50000</v>
      </c>
      <c r="K35" s="135">
        <v>100000</v>
      </c>
      <c r="L35" s="136">
        <v>100000</v>
      </c>
      <c r="M35" s="136"/>
      <c r="N35" s="546"/>
      <c r="O35" s="366">
        <f>SUM(J35:M35)</f>
        <v>250000</v>
      </c>
    </row>
    <row r="36" spans="1:15" s="19" customFormat="1" ht="30.75" customHeight="1">
      <c r="A36" s="379" t="s">
        <v>388</v>
      </c>
      <c r="B36" s="574" t="s">
        <v>297</v>
      </c>
      <c r="C36" s="373" t="s">
        <v>296</v>
      </c>
      <c r="D36" s="373">
        <v>2012</v>
      </c>
      <c r="E36" s="373">
        <v>2015</v>
      </c>
      <c r="F36" s="373">
        <v>921</v>
      </c>
      <c r="G36" s="373">
        <v>92109</v>
      </c>
      <c r="H36" s="373">
        <v>6050</v>
      </c>
      <c r="I36" s="388">
        <f>J36+K36+4845+L36</f>
        <v>3600000</v>
      </c>
      <c r="J36" s="389">
        <v>757722</v>
      </c>
      <c r="K36" s="389">
        <v>1927433</v>
      </c>
      <c r="L36" s="389">
        <v>910000</v>
      </c>
      <c r="M36" s="390"/>
      <c r="N36" s="554"/>
      <c r="O36" s="391">
        <f>SUM(J36:M36)</f>
        <v>3595155</v>
      </c>
    </row>
    <row r="37" spans="1:15" s="19" customFormat="1" ht="11.25" customHeight="1">
      <c r="A37" s="584"/>
      <c r="B37" s="585"/>
      <c r="C37" s="586"/>
      <c r="D37" s="586"/>
      <c r="E37" s="586"/>
      <c r="F37" s="586"/>
      <c r="G37" s="586"/>
      <c r="H37" s="586"/>
      <c r="I37" s="587"/>
      <c r="J37" s="588"/>
      <c r="K37" s="589"/>
      <c r="L37" s="589"/>
      <c r="M37" s="589"/>
      <c r="N37" s="589"/>
      <c r="O37" s="590"/>
    </row>
    <row r="38" spans="1:16" s="354" customFormat="1" ht="32.25" customHeight="1">
      <c r="A38" s="591" t="s">
        <v>179</v>
      </c>
      <c r="B38" s="592" t="s">
        <v>180</v>
      </c>
      <c r="C38" s="582" t="s">
        <v>162</v>
      </c>
      <c r="D38" s="582">
        <v>2006</v>
      </c>
      <c r="E38" s="582">
        <v>2017</v>
      </c>
      <c r="F38" s="582"/>
      <c r="G38" s="582"/>
      <c r="H38" s="582"/>
      <c r="I38" s="471">
        <f aca="true" t="shared" si="8" ref="I38:O38">I39+I47+I46</f>
        <v>72690766</v>
      </c>
      <c r="J38" s="471">
        <f>J39+J47+J46</f>
        <v>24802442</v>
      </c>
      <c r="K38" s="471">
        <f t="shared" si="8"/>
        <v>10200000</v>
      </c>
      <c r="L38" s="471">
        <f t="shared" si="8"/>
        <v>0</v>
      </c>
      <c r="M38" s="471">
        <f t="shared" si="8"/>
        <v>7295000</v>
      </c>
      <c r="N38" s="471">
        <f t="shared" si="8"/>
        <v>11400000</v>
      </c>
      <c r="O38" s="471">
        <f t="shared" si="8"/>
        <v>53697442</v>
      </c>
      <c r="P38" s="353">
        <f>SUM(J38:M38)</f>
        <v>42297442</v>
      </c>
    </row>
    <row r="39" spans="1:16" s="19" customFormat="1" ht="48" customHeight="1" thickBot="1">
      <c r="A39" s="368" t="s">
        <v>181</v>
      </c>
      <c r="B39" s="137" t="s">
        <v>220</v>
      </c>
      <c r="C39" s="243" t="s">
        <v>165</v>
      </c>
      <c r="D39" s="346">
        <v>2006</v>
      </c>
      <c r="E39" s="346">
        <v>2017</v>
      </c>
      <c r="F39" s="742" t="s">
        <v>166</v>
      </c>
      <c r="G39" s="742"/>
      <c r="H39" s="742"/>
      <c r="I39" s="244">
        <f>SUM(I40:I45)</f>
        <v>71836566</v>
      </c>
      <c r="J39" s="244">
        <f aca="true" t="shared" si="9" ref="J39:O39">SUM(J40:J45)</f>
        <v>24275442</v>
      </c>
      <c r="K39" s="244">
        <f t="shared" si="9"/>
        <v>10000000</v>
      </c>
      <c r="L39" s="244">
        <f t="shared" si="9"/>
        <v>0</v>
      </c>
      <c r="M39" s="244">
        <f t="shared" si="9"/>
        <v>7295000</v>
      </c>
      <c r="N39" s="244">
        <f t="shared" si="9"/>
        <v>11400000</v>
      </c>
      <c r="O39" s="380">
        <f t="shared" si="9"/>
        <v>52970442</v>
      </c>
      <c r="P39" s="23" t="e">
        <f>O39+#REF!+O47+O46</f>
        <v>#REF!</v>
      </c>
    </row>
    <row r="40" spans="1:15" s="19" customFormat="1" ht="27.75" customHeight="1">
      <c r="A40" s="381"/>
      <c r="B40" s="230" t="s">
        <v>182</v>
      </c>
      <c r="C40" s="138"/>
      <c r="D40" s="138"/>
      <c r="E40" s="138"/>
      <c r="F40" s="138">
        <v>801</v>
      </c>
      <c r="G40" s="138">
        <v>80101</v>
      </c>
      <c r="H40" s="138">
        <v>6050</v>
      </c>
      <c r="I40" s="139">
        <f>J40+3611024+15255100+K40</f>
        <v>53141566</v>
      </c>
      <c r="J40" s="140">
        <v>24275442</v>
      </c>
      <c r="K40" s="140">
        <v>10000000</v>
      </c>
      <c r="L40" s="141"/>
      <c r="M40" s="141"/>
      <c r="N40" s="549"/>
      <c r="O40" s="382">
        <f>SUM(J40:M40)</f>
        <v>34275442</v>
      </c>
    </row>
    <row r="41" spans="1:15" s="19" customFormat="1" ht="17.25" customHeight="1" thickBot="1">
      <c r="A41" s="369"/>
      <c r="B41" s="231" t="s">
        <v>386</v>
      </c>
      <c r="C41" s="142"/>
      <c r="D41" s="142"/>
      <c r="E41" s="142"/>
      <c r="F41" s="142"/>
      <c r="G41" s="142"/>
      <c r="H41" s="142"/>
      <c r="I41" s="143"/>
      <c r="J41" s="452"/>
      <c r="K41" s="144"/>
      <c r="L41" s="144"/>
      <c r="M41" s="144"/>
      <c r="N41" s="550"/>
      <c r="O41" s="384">
        <f aca="true" t="shared" si="10" ref="O41:O47">SUM(J41:M41)</f>
        <v>0</v>
      </c>
    </row>
    <row r="42" spans="1:15" s="19" customFormat="1" ht="20.25" customHeight="1">
      <c r="A42" s="381"/>
      <c r="B42" s="272" t="s">
        <v>183</v>
      </c>
      <c r="C42" s="524"/>
      <c r="D42" s="524"/>
      <c r="E42" s="524"/>
      <c r="F42" s="524"/>
      <c r="G42" s="524"/>
      <c r="H42" s="524">
        <v>6050</v>
      </c>
      <c r="I42" s="525">
        <f>O42</f>
        <v>8600000</v>
      </c>
      <c r="J42" s="525"/>
      <c r="K42" s="524"/>
      <c r="L42" s="525"/>
      <c r="M42" s="525">
        <v>2900000</v>
      </c>
      <c r="N42" s="551">
        <v>5700000</v>
      </c>
      <c r="O42" s="526">
        <f>SUM(L42:N42)</f>
        <v>8600000</v>
      </c>
    </row>
    <row r="43" spans="1:15" s="19" customFormat="1" ht="19.5" customHeight="1" thickBot="1">
      <c r="A43" s="369"/>
      <c r="B43" s="580" t="s">
        <v>380</v>
      </c>
      <c r="C43" s="527"/>
      <c r="D43" s="527"/>
      <c r="E43" s="527"/>
      <c r="F43" s="527"/>
      <c r="G43" s="527"/>
      <c r="H43" s="527"/>
      <c r="I43" s="528"/>
      <c r="J43" s="528"/>
      <c r="K43" s="528"/>
      <c r="L43" s="528"/>
      <c r="M43" s="528"/>
      <c r="N43" s="552"/>
      <c r="O43" s="529">
        <f>SUM(L43:N43)</f>
        <v>0</v>
      </c>
    </row>
    <row r="44" spans="1:15" s="19" customFormat="1" ht="25.5" customHeight="1">
      <c r="A44" s="381"/>
      <c r="B44" s="272" t="s">
        <v>184</v>
      </c>
      <c r="C44" s="524"/>
      <c r="D44" s="524"/>
      <c r="E44" s="524"/>
      <c r="F44" s="524"/>
      <c r="G44" s="524"/>
      <c r="H44" s="524">
        <v>6050</v>
      </c>
      <c r="I44" s="525">
        <f>O44</f>
        <v>10095000</v>
      </c>
      <c r="J44" s="525"/>
      <c r="K44" s="525"/>
      <c r="L44" s="525"/>
      <c r="M44" s="525">
        <v>4395000</v>
      </c>
      <c r="N44" s="551">
        <v>5700000</v>
      </c>
      <c r="O44" s="526">
        <f>SUM(L44:N44)</f>
        <v>10095000</v>
      </c>
    </row>
    <row r="45" spans="1:15" s="19" customFormat="1" ht="15" customHeight="1" thickBot="1">
      <c r="A45" s="383"/>
      <c r="B45" s="580" t="s">
        <v>379</v>
      </c>
      <c r="C45" s="527"/>
      <c r="D45" s="527"/>
      <c r="E45" s="527"/>
      <c r="F45" s="527"/>
      <c r="G45" s="527"/>
      <c r="H45" s="527"/>
      <c r="I45" s="528"/>
      <c r="J45" s="528"/>
      <c r="K45" s="528"/>
      <c r="L45" s="528"/>
      <c r="M45" s="528"/>
      <c r="N45" s="552"/>
      <c r="O45" s="529"/>
    </row>
    <row r="46" spans="1:15" s="19" customFormat="1" ht="38.25" customHeight="1">
      <c r="A46" s="369" t="s">
        <v>225</v>
      </c>
      <c r="B46" s="336" t="s">
        <v>331</v>
      </c>
      <c r="C46" s="341" t="s">
        <v>165</v>
      </c>
      <c r="D46" s="342">
        <v>2012</v>
      </c>
      <c r="E46" s="342">
        <v>2013</v>
      </c>
      <c r="F46" s="280">
        <v>801</v>
      </c>
      <c r="G46" s="280">
        <v>80101</v>
      </c>
      <c r="H46" s="280">
        <v>6050</v>
      </c>
      <c r="I46" s="43">
        <f>J46+65000</f>
        <v>485000</v>
      </c>
      <c r="J46" s="134">
        <v>420000</v>
      </c>
      <c r="K46" s="348">
        <v>0</v>
      </c>
      <c r="L46" s="337">
        <v>0</v>
      </c>
      <c r="M46" s="337">
        <v>0</v>
      </c>
      <c r="N46" s="553"/>
      <c r="O46" s="385">
        <f t="shared" si="10"/>
        <v>420000</v>
      </c>
    </row>
    <row r="47" spans="1:15" s="19" customFormat="1" ht="30" customHeight="1">
      <c r="A47" s="386" t="s">
        <v>360</v>
      </c>
      <c r="B47" s="387" t="s">
        <v>192</v>
      </c>
      <c r="C47" s="373" t="s">
        <v>165</v>
      </c>
      <c r="D47" s="373">
        <v>2011</v>
      </c>
      <c r="E47" s="373">
        <v>2014</v>
      </c>
      <c r="F47" s="373">
        <v>801</v>
      </c>
      <c r="G47" s="373">
        <v>80104</v>
      </c>
      <c r="H47" s="373">
        <v>6050</v>
      </c>
      <c r="I47" s="388">
        <f>J47+62200+K47</f>
        <v>369200</v>
      </c>
      <c r="J47" s="389">
        <v>107000</v>
      </c>
      <c r="K47" s="389">
        <v>200000</v>
      </c>
      <c r="L47" s="390">
        <v>0</v>
      </c>
      <c r="M47" s="390">
        <v>0</v>
      </c>
      <c r="N47" s="554"/>
      <c r="O47" s="391">
        <f t="shared" si="10"/>
        <v>307000</v>
      </c>
    </row>
    <row r="48" spans="1:23" s="357" customFormat="1" ht="30.75" customHeight="1">
      <c r="A48" s="456" t="s">
        <v>115</v>
      </c>
      <c r="B48" s="457" t="s">
        <v>185</v>
      </c>
      <c r="C48" s="458"/>
      <c r="D48" s="458" t="s">
        <v>81</v>
      </c>
      <c r="E48" s="458" t="s">
        <v>81</v>
      </c>
      <c r="F48" s="458"/>
      <c r="G48" s="458"/>
      <c r="H48" s="458"/>
      <c r="I48" s="459">
        <f aca="true" t="shared" si="11" ref="I48:M49">I49</f>
        <v>15795291</v>
      </c>
      <c r="J48" s="459">
        <f t="shared" si="11"/>
        <v>8494682</v>
      </c>
      <c r="K48" s="460">
        <f t="shared" si="11"/>
        <v>2387851</v>
      </c>
      <c r="L48" s="460">
        <f t="shared" si="11"/>
        <v>946000</v>
      </c>
      <c r="M48" s="460">
        <f t="shared" si="11"/>
        <v>340000</v>
      </c>
      <c r="N48" s="555"/>
      <c r="O48" s="461">
        <f>SUM(J48:M48)</f>
        <v>12168533</v>
      </c>
      <c r="P48" s="362"/>
      <c r="Q48" s="362"/>
      <c r="R48" s="362"/>
      <c r="S48" s="362"/>
      <c r="T48" s="362"/>
      <c r="U48" s="362"/>
      <c r="V48" s="362"/>
      <c r="W48" s="362"/>
    </row>
    <row r="49" spans="1:16" s="33" customFormat="1" ht="18.75" customHeight="1">
      <c r="A49" s="416"/>
      <c r="B49" s="145" t="s">
        <v>156</v>
      </c>
      <c r="C49" s="146"/>
      <c r="D49" s="146" t="s">
        <v>81</v>
      </c>
      <c r="E49" s="146" t="s">
        <v>81</v>
      </c>
      <c r="F49" s="146"/>
      <c r="G49" s="146"/>
      <c r="H49" s="146"/>
      <c r="I49" s="134">
        <f t="shared" si="11"/>
        <v>15795291</v>
      </c>
      <c r="J49" s="134">
        <f t="shared" si="11"/>
        <v>8494682</v>
      </c>
      <c r="K49" s="134">
        <f t="shared" si="11"/>
        <v>2387851</v>
      </c>
      <c r="L49" s="134">
        <f>L50</f>
        <v>946000</v>
      </c>
      <c r="M49" s="134">
        <f>M50</f>
        <v>340000</v>
      </c>
      <c r="N49" s="519"/>
      <c r="O49" s="395">
        <f>O50</f>
        <v>12168533</v>
      </c>
      <c r="P49" s="233"/>
    </row>
    <row r="50" spans="1:16" s="361" customFormat="1" ht="21.75" customHeight="1">
      <c r="A50" s="478" t="s">
        <v>186</v>
      </c>
      <c r="B50" s="479" t="s">
        <v>187</v>
      </c>
      <c r="C50" s="490" t="s">
        <v>162</v>
      </c>
      <c r="D50" s="480">
        <v>2009</v>
      </c>
      <c r="E50" s="480">
        <v>2016</v>
      </c>
      <c r="F50" s="491"/>
      <c r="G50" s="491"/>
      <c r="H50" s="491"/>
      <c r="I50" s="491">
        <f>SUM(I51:I68,I69:I77)+I80+I84</f>
        <v>15795291</v>
      </c>
      <c r="J50" s="491">
        <f>SUM(J51:J68,J69:J77)+J80+J84</f>
        <v>8494682</v>
      </c>
      <c r="K50" s="491">
        <f>SUM(K51:K68,K69:K77)+K80+K84</f>
        <v>2387851</v>
      </c>
      <c r="L50" s="491">
        <f>SUM(L51:L68,L69:L77)+L80+L84</f>
        <v>946000</v>
      </c>
      <c r="M50" s="491">
        <f>SUM(M51:M68,M69:M77)+M80+M84</f>
        <v>340000</v>
      </c>
      <c r="N50" s="556"/>
      <c r="O50" s="492">
        <f>SUM(O51:O69,O70:O76,O77,O80,O84)</f>
        <v>12168533</v>
      </c>
      <c r="P50" s="360">
        <f>SUM(O51:O79)</f>
        <v>11323860</v>
      </c>
    </row>
    <row r="51" spans="1:16" s="33" customFormat="1" ht="79.5" customHeight="1">
      <c r="A51" s="394" t="s">
        <v>188</v>
      </c>
      <c r="B51" s="583" t="s">
        <v>377</v>
      </c>
      <c r="C51" s="280" t="s">
        <v>175</v>
      </c>
      <c r="D51" s="280">
        <v>2012</v>
      </c>
      <c r="E51" s="280">
        <v>2014</v>
      </c>
      <c r="F51" s="43">
        <v>150</v>
      </c>
      <c r="G51" s="43">
        <v>15011</v>
      </c>
      <c r="H51" s="43">
        <v>6639</v>
      </c>
      <c r="I51" s="43">
        <f>J51+K51+18061</f>
        <v>22401</v>
      </c>
      <c r="J51" s="134">
        <v>2480</v>
      </c>
      <c r="K51" s="134">
        <v>1860</v>
      </c>
      <c r="L51" s="134"/>
      <c r="M51" s="134"/>
      <c r="N51" s="519"/>
      <c r="O51" s="366">
        <f aca="true" t="shared" si="12" ref="O51:O76">SUM(J51:M51)</f>
        <v>4340</v>
      </c>
      <c r="P51" s="233">
        <f>SUM(J52:J76)</f>
        <v>5357898</v>
      </c>
    </row>
    <row r="52" spans="1:16" s="33" customFormat="1" ht="45.75" customHeight="1">
      <c r="A52" s="394" t="s">
        <v>190</v>
      </c>
      <c r="B52" s="267" t="s">
        <v>271</v>
      </c>
      <c r="C52" s="280" t="s">
        <v>175</v>
      </c>
      <c r="D52" s="280">
        <v>2012</v>
      </c>
      <c r="E52" s="280">
        <v>2013</v>
      </c>
      <c r="F52" s="43">
        <v>600</v>
      </c>
      <c r="G52" s="43" t="s">
        <v>189</v>
      </c>
      <c r="H52" s="43">
        <v>6050</v>
      </c>
      <c r="I52" s="43">
        <f>J52+225</f>
        <v>100225</v>
      </c>
      <c r="J52" s="134">
        <v>100000</v>
      </c>
      <c r="K52" s="134"/>
      <c r="L52" s="134"/>
      <c r="M52" s="134"/>
      <c r="N52" s="519"/>
      <c r="O52" s="366">
        <f t="shared" si="12"/>
        <v>100000</v>
      </c>
      <c r="P52" s="233"/>
    </row>
    <row r="53" spans="1:16" s="33" customFormat="1" ht="45" customHeight="1">
      <c r="A53" s="394" t="s">
        <v>332</v>
      </c>
      <c r="B53" s="240" t="s">
        <v>309</v>
      </c>
      <c r="C53" s="280" t="s">
        <v>175</v>
      </c>
      <c r="D53" s="280">
        <v>2012</v>
      </c>
      <c r="E53" s="280">
        <v>2013</v>
      </c>
      <c r="F53" s="43">
        <v>600</v>
      </c>
      <c r="G53" s="43">
        <v>60016</v>
      </c>
      <c r="H53" s="43">
        <v>6050</v>
      </c>
      <c r="I53" s="43">
        <f>J53+225</f>
        <v>60225</v>
      </c>
      <c r="J53" s="134">
        <v>60000</v>
      </c>
      <c r="K53" s="134"/>
      <c r="L53" s="134"/>
      <c r="M53" s="134"/>
      <c r="N53" s="519"/>
      <c r="O53" s="366">
        <f t="shared" si="12"/>
        <v>60000</v>
      </c>
      <c r="P53" s="233"/>
    </row>
    <row r="54" spans="1:16" s="33" customFormat="1" ht="45" customHeight="1">
      <c r="A54" s="394" t="s">
        <v>191</v>
      </c>
      <c r="B54" s="499" t="s">
        <v>299</v>
      </c>
      <c r="C54" s="280" t="s">
        <v>175</v>
      </c>
      <c r="D54" s="280">
        <v>2012</v>
      </c>
      <c r="E54" s="280">
        <v>2015</v>
      </c>
      <c r="F54" s="43">
        <v>600</v>
      </c>
      <c r="G54" s="43">
        <v>60016</v>
      </c>
      <c r="H54" s="43">
        <v>6050</v>
      </c>
      <c r="I54" s="43">
        <f>L54+M54+K54+56211+J54</f>
        <v>336211</v>
      </c>
      <c r="J54" s="134">
        <v>60000</v>
      </c>
      <c r="K54" s="134">
        <v>120000</v>
      </c>
      <c r="L54" s="134">
        <v>100000</v>
      </c>
      <c r="M54" s="134"/>
      <c r="N54" s="519"/>
      <c r="O54" s="366">
        <f t="shared" si="12"/>
        <v>280000</v>
      </c>
      <c r="P54" s="233"/>
    </row>
    <row r="55" spans="1:15" s="33" customFormat="1" ht="45" customHeight="1">
      <c r="A55" s="394" t="s">
        <v>231</v>
      </c>
      <c r="B55" s="268" t="s">
        <v>272</v>
      </c>
      <c r="C55" s="280" t="s">
        <v>175</v>
      </c>
      <c r="D55" s="280">
        <v>2009</v>
      </c>
      <c r="E55" s="280">
        <v>2013</v>
      </c>
      <c r="F55" s="43">
        <v>600</v>
      </c>
      <c r="G55" s="43" t="s">
        <v>189</v>
      </c>
      <c r="H55" s="43">
        <v>6050</v>
      </c>
      <c r="I55" s="43">
        <f>J55+541582+1660000</f>
        <v>4696782</v>
      </c>
      <c r="J55" s="43">
        <v>2495200</v>
      </c>
      <c r="K55" s="134"/>
      <c r="L55" s="134"/>
      <c r="M55" s="134"/>
      <c r="N55" s="519"/>
      <c r="O55" s="366">
        <f t="shared" si="12"/>
        <v>2495200</v>
      </c>
    </row>
    <row r="56" spans="1:15" s="33" customFormat="1" ht="47.25" customHeight="1">
      <c r="A56" s="394" t="s">
        <v>228</v>
      </c>
      <c r="B56" s="269" t="s">
        <v>288</v>
      </c>
      <c r="C56" s="280" t="s">
        <v>175</v>
      </c>
      <c r="D56" s="280">
        <v>2009</v>
      </c>
      <c r="E56" s="280">
        <v>2014</v>
      </c>
      <c r="F56" s="43">
        <v>600</v>
      </c>
      <c r="G56" s="43" t="s">
        <v>189</v>
      </c>
      <c r="H56" s="43">
        <v>6050</v>
      </c>
      <c r="I56" s="43">
        <f>J56+K56+150269</f>
        <v>350269</v>
      </c>
      <c r="J56" s="134">
        <v>50000</v>
      </c>
      <c r="K56" s="134">
        <v>150000</v>
      </c>
      <c r="L56" s="134"/>
      <c r="M56" s="134"/>
      <c r="N56" s="519"/>
      <c r="O56" s="366">
        <f t="shared" si="12"/>
        <v>200000</v>
      </c>
    </row>
    <row r="57" spans="1:15" s="33" customFormat="1" ht="45.75" customHeight="1">
      <c r="A57" s="394" t="s">
        <v>229</v>
      </c>
      <c r="B57" s="240" t="s">
        <v>318</v>
      </c>
      <c r="C57" s="280" t="s">
        <v>175</v>
      </c>
      <c r="D57" s="280">
        <v>2009</v>
      </c>
      <c r="E57" s="280">
        <v>2014</v>
      </c>
      <c r="F57" s="43">
        <v>600</v>
      </c>
      <c r="G57" s="43" t="s">
        <v>189</v>
      </c>
      <c r="H57" s="43">
        <v>6050</v>
      </c>
      <c r="I57" s="43">
        <f>J57+22814+20295+K57</f>
        <v>193109</v>
      </c>
      <c r="J57" s="43">
        <v>50000</v>
      </c>
      <c r="K57" s="134">
        <v>100000</v>
      </c>
      <c r="L57" s="134"/>
      <c r="M57" s="134"/>
      <c r="N57" s="519"/>
      <c r="O57" s="366">
        <f t="shared" si="12"/>
        <v>150000</v>
      </c>
    </row>
    <row r="58" spans="1:15" s="33" customFormat="1" ht="60" customHeight="1">
      <c r="A58" s="394" t="s">
        <v>232</v>
      </c>
      <c r="B58" s="573" t="s">
        <v>316</v>
      </c>
      <c r="C58" s="373" t="s">
        <v>175</v>
      </c>
      <c r="D58" s="373">
        <v>2012</v>
      </c>
      <c r="E58" s="373">
        <v>2013</v>
      </c>
      <c r="F58" s="388">
        <v>600</v>
      </c>
      <c r="G58" s="388" t="s">
        <v>189</v>
      </c>
      <c r="H58" s="388">
        <v>6050</v>
      </c>
      <c r="I58" s="388">
        <f>J58+K58+225</f>
        <v>35225</v>
      </c>
      <c r="J58" s="389">
        <v>35000</v>
      </c>
      <c r="K58" s="389"/>
      <c r="L58" s="389"/>
      <c r="M58" s="389"/>
      <c r="N58" s="557"/>
      <c r="O58" s="391">
        <f t="shared" si="12"/>
        <v>35000</v>
      </c>
    </row>
    <row r="59" spans="1:15" s="33" customFormat="1" ht="45" customHeight="1">
      <c r="A59" s="394" t="s">
        <v>357</v>
      </c>
      <c r="B59" s="530" t="s">
        <v>319</v>
      </c>
      <c r="C59" s="343" t="s">
        <v>175</v>
      </c>
      <c r="D59" s="343">
        <v>2012</v>
      </c>
      <c r="E59" s="343">
        <v>2013</v>
      </c>
      <c r="F59" s="465">
        <v>600</v>
      </c>
      <c r="G59" s="465">
        <v>60016</v>
      </c>
      <c r="H59" s="465">
        <v>6050</v>
      </c>
      <c r="I59" s="465">
        <f>J59+225</f>
        <v>70225</v>
      </c>
      <c r="J59" s="465">
        <v>70000</v>
      </c>
      <c r="K59" s="522"/>
      <c r="L59" s="522"/>
      <c r="M59" s="522"/>
      <c r="N59" s="570"/>
      <c r="O59" s="466">
        <f t="shared" si="12"/>
        <v>70000</v>
      </c>
    </row>
    <row r="60" spans="1:15" s="33" customFormat="1" ht="45" customHeight="1">
      <c r="A60" s="394" t="s">
        <v>233</v>
      </c>
      <c r="B60" s="241" t="s">
        <v>310</v>
      </c>
      <c r="C60" s="280" t="s">
        <v>175</v>
      </c>
      <c r="D60" s="280">
        <v>2012</v>
      </c>
      <c r="E60" s="280">
        <v>2013</v>
      </c>
      <c r="F60" s="43">
        <v>600</v>
      </c>
      <c r="G60" s="43">
        <v>60016</v>
      </c>
      <c r="H60" s="43">
        <v>6050</v>
      </c>
      <c r="I60" s="43">
        <f>J60+225</f>
        <v>75225</v>
      </c>
      <c r="J60" s="43">
        <v>75000</v>
      </c>
      <c r="K60" s="134"/>
      <c r="L60" s="134"/>
      <c r="M60" s="134"/>
      <c r="N60" s="519"/>
      <c r="O60" s="366">
        <f t="shared" si="12"/>
        <v>75000</v>
      </c>
    </row>
    <row r="61" spans="1:15" s="33" customFormat="1" ht="45.75" customHeight="1">
      <c r="A61" s="394" t="s">
        <v>247</v>
      </c>
      <c r="B61" s="240" t="s">
        <v>264</v>
      </c>
      <c r="C61" s="280" t="s">
        <v>175</v>
      </c>
      <c r="D61" s="280">
        <v>2011</v>
      </c>
      <c r="E61" s="280">
        <v>2013</v>
      </c>
      <c r="F61" s="43">
        <v>600</v>
      </c>
      <c r="G61" s="43" t="s">
        <v>189</v>
      </c>
      <c r="H61" s="43">
        <v>6050</v>
      </c>
      <c r="I61" s="43">
        <f>O61+67650+272623</f>
        <v>778650</v>
      </c>
      <c r="J61" s="43">
        <v>438377</v>
      </c>
      <c r="K61" s="134"/>
      <c r="L61" s="134"/>
      <c r="M61" s="134"/>
      <c r="N61" s="519"/>
      <c r="O61" s="366">
        <f t="shared" si="12"/>
        <v>438377</v>
      </c>
    </row>
    <row r="62" spans="1:15" s="33" customFormat="1" ht="48" customHeight="1">
      <c r="A62" s="394" t="s">
        <v>248</v>
      </c>
      <c r="B62" s="240" t="s">
        <v>256</v>
      </c>
      <c r="C62" s="280" t="s">
        <v>175</v>
      </c>
      <c r="D62" s="280">
        <v>2013</v>
      </c>
      <c r="E62" s="280">
        <v>2014</v>
      </c>
      <c r="F62" s="43">
        <v>600</v>
      </c>
      <c r="G62" s="43" t="s">
        <v>189</v>
      </c>
      <c r="H62" s="43">
        <v>6050</v>
      </c>
      <c r="I62" s="43">
        <f>O62</f>
        <v>750000</v>
      </c>
      <c r="J62" s="340">
        <v>50000</v>
      </c>
      <c r="K62" s="237">
        <v>700000</v>
      </c>
      <c r="L62" s="237"/>
      <c r="M62" s="237"/>
      <c r="N62" s="542"/>
      <c r="O62" s="366">
        <f t="shared" si="12"/>
        <v>750000</v>
      </c>
    </row>
    <row r="63" spans="1:15" s="33" customFormat="1" ht="44.25" customHeight="1">
      <c r="A63" s="394" t="s">
        <v>249</v>
      </c>
      <c r="B63" s="240" t="s">
        <v>257</v>
      </c>
      <c r="C63" s="280" t="s">
        <v>175</v>
      </c>
      <c r="D63" s="280">
        <v>2013</v>
      </c>
      <c r="E63" s="280">
        <v>2015</v>
      </c>
      <c r="F63" s="43">
        <v>600</v>
      </c>
      <c r="G63" s="43" t="s">
        <v>189</v>
      </c>
      <c r="H63" s="43">
        <v>6050</v>
      </c>
      <c r="I63" s="43">
        <f>J63+K63+L63</f>
        <v>250000</v>
      </c>
      <c r="J63" s="340">
        <v>50000</v>
      </c>
      <c r="K63" s="237">
        <v>100000</v>
      </c>
      <c r="L63" s="237">
        <v>100000</v>
      </c>
      <c r="M63" s="237"/>
      <c r="N63" s="542"/>
      <c r="O63" s="366">
        <f t="shared" si="12"/>
        <v>250000</v>
      </c>
    </row>
    <row r="64" spans="1:15" s="33" customFormat="1" ht="49.5" customHeight="1">
      <c r="A64" s="394" t="s">
        <v>250</v>
      </c>
      <c r="B64" s="240" t="s">
        <v>258</v>
      </c>
      <c r="C64" s="280" t="s">
        <v>175</v>
      </c>
      <c r="D64" s="280">
        <v>2012</v>
      </c>
      <c r="E64" s="280">
        <v>2013</v>
      </c>
      <c r="F64" s="43">
        <v>600</v>
      </c>
      <c r="G64" s="43" t="s">
        <v>189</v>
      </c>
      <c r="H64" s="43">
        <v>6050</v>
      </c>
      <c r="I64" s="43">
        <f>J64+196000</f>
        <v>710000</v>
      </c>
      <c r="J64" s="340">
        <v>514000</v>
      </c>
      <c r="K64" s="237"/>
      <c r="L64" s="237"/>
      <c r="M64" s="237"/>
      <c r="N64" s="542"/>
      <c r="O64" s="366">
        <f t="shared" si="12"/>
        <v>514000</v>
      </c>
    </row>
    <row r="65" spans="1:15" s="33" customFormat="1" ht="46.5" customHeight="1">
      <c r="A65" s="394" t="s">
        <v>251</v>
      </c>
      <c r="B65" s="240" t="s">
        <v>311</v>
      </c>
      <c r="C65" s="280" t="s">
        <v>175</v>
      </c>
      <c r="D65" s="280">
        <v>2012</v>
      </c>
      <c r="E65" s="280">
        <v>2013</v>
      </c>
      <c r="F65" s="43">
        <v>600</v>
      </c>
      <c r="G65" s="43">
        <v>60016</v>
      </c>
      <c r="H65" s="43">
        <v>6050</v>
      </c>
      <c r="I65" s="43">
        <f>J65+225</f>
        <v>45225</v>
      </c>
      <c r="J65" s="340">
        <v>45000</v>
      </c>
      <c r="K65" s="237"/>
      <c r="L65" s="237"/>
      <c r="M65" s="237"/>
      <c r="N65" s="542"/>
      <c r="O65" s="366">
        <f t="shared" si="12"/>
        <v>45000</v>
      </c>
    </row>
    <row r="66" spans="1:15" s="33" customFormat="1" ht="55.5" customHeight="1">
      <c r="A66" s="394" t="s">
        <v>252</v>
      </c>
      <c r="B66" s="240" t="s">
        <v>312</v>
      </c>
      <c r="C66" s="373" t="s">
        <v>175</v>
      </c>
      <c r="D66" s="373">
        <v>2012</v>
      </c>
      <c r="E66" s="373">
        <v>2013</v>
      </c>
      <c r="F66" s="388">
        <v>600</v>
      </c>
      <c r="G66" s="388">
        <v>60016</v>
      </c>
      <c r="H66" s="388">
        <v>6050</v>
      </c>
      <c r="I66" s="388">
        <f>J66+225</f>
        <v>35225</v>
      </c>
      <c r="J66" s="388">
        <v>35000</v>
      </c>
      <c r="K66" s="389"/>
      <c r="L66" s="389"/>
      <c r="M66" s="389"/>
      <c r="N66" s="557"/>
      <c r="O66" s="391">
        <f t="shared" si="12"/>
        <v>35000</v>
      </c>
    </row>
    <row r="67" spans="1:15" s="33" customFormat="1" ht="45" customHeight="1">
      <c r="A67" s="394" t="s">
        <v>265</v>
      </c>
      <c r="B67" s="464" t="s">
        <v>343</v>
      </c>
      <c r="C67" s="343" t="s">
        <v>175</v>
      </c>
      <c r="D67" s="343">
        <v>2013</v>
      </c>
      <c r="E67" s="343">
        <v>2015</v>
      </c>
      <c r="F67" s="465">
        <v>600</v>
      </c>
      <c r="G67" s="465">
        <v>60016</v>
      </c>
      <c r="H67" s="465">
        <v>6050</v>
      </c>
      <c r="I67" s="465">
        <f>O67</f>
        <v>170000</v>
      </c>
      <c r="J67" s="449">
        <v>70000</v>
      </c>
      <c r="K67" s="450"/>
      <c r="L67" s="450">
        <v>100000</v>
      </c>
      <c r="M67" s="450"/>
      <c r="N67" s="543"/>
      <c r="O67" s="466">
        <f t="shared" si="12"/>
        <v>170000</v>
      </c>
    </row>
    <row r="68" spans="1:15" s="33" customFormat="1" ht="33" customHeight="1">
      <c r="A68" s="394" t="s">
        <v>273</v>
      </c>
      <c r="B68" s="240" t="s">
        <v>260</v>
      </c>
      <c r="C68" s="280" t="s">
        <v>175</v>
      </c>
      <c r="D68" s="280">
        <v>2013</v>
      </c>
      <c r="E68" s="280">
        <v>2014</v>
      </c>
      <c r="F68" s="43">
        <v>600</v>
      </c>
      <c r="G68" s="43" t="s">
        <v>189</v>
      </c>
      <c r="H68" s="43">
        <v>6050</v>
      </c>
      <c r="I68" s="43">
        <f>J68+K68</f>
        <v>542722</v>
      </c>
      <c r="J68" s="340">
        <v>105000</v>
      </c>
      <c r="K68" s="237">
        <v>437722</v>
      </c>
      <c r="L68" s="237"/>
      <c r="M68" s="237"/>
      <c r="N68" s="542"/>
      <c r="O68" s="366">
        <f t="shared" si="12"/>
        <v>542722</v>
      </c>
    </row>
    <row r="69" spans="1:15" s="33" customFormat="1" ht="44.25" customHeight="1">
      <c r="A69" s="394" t="s">
        <v>358</v>
      </c>
      <c r="B69" s="453" t="s">
        <v>314</v>
      </c>
      <c r="C69" s="373" t="s">
        <v>175</v>
      </c>
      <c r="D69" s="373">
        <v>2012</v>
      </c>
      <c r="E69" s="373">
        <v>2016</v>
      </c>
      <c r="F69" s="388">
        <v>600</v>
      </c>
      <c r="G69" s="388">
        <v>60016</v>
      </c>
      <c r="H69" s="388">
        <v>6050</v>
      </c>
      <c r="I69" s="388">
        <f>M69+L69+J69+225</f>
        <v>405225</v>
      </c>
      <c r="J69" s="388">
        <v>45000</v>
      </c>
      <c r="K69" s="389"/>
      <c r="L69" s="389">
        <v>220000</v>
      </c>
      <c r="M69" s="389">
        <v>140000</v>
      </c>
      <c r="N69" s="557"/>
      <c r="O69" s="391">
        <f t="shared" si="12"/>
        <v>405000</v>
      </c>
    </row>
    <row r="70" spans="1:15" s="33" customFormat="1" ht="63.75" customHeight="1">
      <c r="A70" s="394" t="s">
        <v>298</v>
      </c>
      <c r="B70" s="454" t="s">
        <v>315</v>
      </c>
      <c r="C70" s="280" t="s">
        <v>175</v>
      </c>
      <c r="D70" s="280">
        <v>2012</v>
      </c>
      <c r="E70" s="280">
        <v>2013</v>
      </c>
      <c r="F70" s="43">
        <v>600</v>
      </c>
      <c r="G70" s="43">
        <v>60016</v>
      </c>
      <c r="H70" s="43">
        <v>6050</v>
      </c>
      <c r="I70" s="43">
        <f>J70+225</f>
        <v>35225</v>
      </c>
      <c r="J70" s="340">
        <v>35000</v>
      </c>
      <c r="K70" s="237"/>
      <c r="L70" s="237"/>
      <c r="M70" s="237"/>
      <c r="N70" s="542"/>
      <c r="O70" s="366">
        <f t="shared" si="12"/>
        <v>35000</v>
      </c>
    </row>
    <row r="71" spans="1:15" s="33" customFormat="1" ht="39" customHeight="1">
      <c r="A71" s="394" t="s">
        <v>302</v>
      </c>
      <c r="B71" s="268" t="s">
        <v>238</v>
      </c>
      <c r="C71" s="280" t="s">
        <v>175</v>
      </c>
      <c r="D71" s="280">
        <v>2011</v>
      </c>
      <c r="E71" s="280">
        <v>2013</v>
      </c>
      <c r="F71" s="43">
        <v>600</v>
      </c>
      <c r="G71" s="43" t="s">
        <v>189</v>
      </c>
      <c r="H71" s="43">
        <v>6050</v>
      </c>
      <c r="I71" s="43">
        <f>J71+212845+295165</f>
        <v>918010</v>
      </c>
      <c r="J71" s="43">
        <v>410000</v>
      </c>
      <c r="K71" s="43"/>
      <c r="L71" s="43"/>
      <c r="M71" s="43"/>
      <c r="N71" s="558"/>
      <c r="O71" s="366">
        <f t="shared" si="12"/>
        <v>410000</v>
      </c>
    </row>
    <row r="72" spans="1:15" s="33" customFormat="1" ht="39" customHeight="1">
      <c r="A72" s="394" t="s">
        <v>303</v>
      </c>
      <c r="B72" s="581" t="s">
        <v>381</v>
      </c>
      <c r="C72" s="280" t="s">
        <v>175</v>
      </c>
      <c r="D72" s="280">
        <v>2012</v>
      </c>
      <c r="E72" s="280">
        <v>2016</v>
      </c>
      <c r="F72" s="43">
        <v>600</v>
      </c>
      <c r="G72" s="43" t="s">
        <v>189</v>
      </c>
      <c r="H72" s="43">
        <v>6050</v>
      </c>
      <c r="I72" s="43">
        <f>N72+M72+L72+J72</f>
        <v>168671</v>
      </c>
      <c r="J72" s="43">
        <v>58671</v>
      </c>
      <c r="K72" s="134"/>
      <c r="L72" s="134">
        <v>10000</v>
      </c>
      <c r="M72" s="134">
        <v>100000</v>
      </c>
      <c r="N72" s="366"/>
      <c r="O72" s="366">
        <f t="shared" si="12"/>
        <v>168671</v>
      </c>
    </row>
    <row r="73" spans="1:15" s="33" customFormat="1" ht="44.25" customHeight="1">
      <c r="A73" s="394" t="s">
        <v>304</v>
      </c>
      <c r="B73" s="393" t="s">
        <v>301</v>
      </c>
      <c r="C73" s="373" t="s">
        <v>175</v>
      </c>
      <c r="D73" s="373">
        <v>2013</v>
      </c>
      <c r="E73" s="373">
        <v>2016</v>
      </c>
      <c r="F73" s="388">
        <v>600</v>
      </c>
      <c r="G73" s="388">
        <v>60016</v>
      </c>
      <c r="H73" s="388">
        <v>6050</v>
      </c>
      <c r="I73" s="388">
        <f>O73</f>
        <v>367650</v>
      </c>
      <c r="J73" s="388">
        <v>167650</v>
      </c>
      <c r="K73" s="389"/>
      <c r="L73" s="389">
        <v>100000</v>
      </c>
      <c r="M73" s="389">
        <v>100000</v>
      </c>
      <c r="N73" s="557"/>
      <c r="O73" s="391">
        <f t="shared" si="12"/>
        <v>367650</v>
      </c>
    </row>
    <row r="74" spans="1:15" s="33" customFormat="1" ht="39.75" customHeight="1">
      <c r="A74" s="394" t="s">
        <v>305</v>
      </c>
      <c r="B74" s="268" t="s">
        <v>341</v>
      </c>
      <c r="C74" s="280" t="s">
        <v>175</v>
      </c>
      <c r="D74" s="280">
        <v>2011</v>
      </c>
      <c r="E74" s="280">
        <v>2015</v>
      </c>
      <c r="F74" s="43">
        <v>600</v>
      </c>
      <c r="G74" s="43" t="s">
        <v>189</v>
      </c>
      <c r="H74" s="43">
        <v>6050</v>
      </c>
      <c r="I74" s="43">
        <f>J74+9350+K74+L74+89175</f>
        <v>563525</v>
      </c>
      <c r="J74" s="43">
        <v>95000</v>
      </c>
      <c r="K74" s="43">
        <v>100000</v>
      </c>
      <c r="L74" s="43">
        <v>270000</v>
      </c>
      <c r="M74" s="43"/>
      <c r="N74" s="558"/>
      <c r="O74" s="366">
        <f t="shared" si="12"/>
        <v>465000</v>
      </c>
    </row>
    <row r="75" spans="1:15" s="33" customFormat="1" ht="39.75" customHeight="1">
      <c r="A75" s="394" t="s">
        <v>359</v>
      </c>
      <c r="B75" s="268" t="s">
        <v>313</v>
      </c>
      <c r="C75" s="280" t="s">
        <v>175</v>
      </c>
      <c r="D75" s="280">
        <v>2012</v>
      </c>
      <c r="E75" s="280">
        <v>2013</v>
      </c>
      <c r="F75" s="43">
        <v>600</v>
      </c>
      <c r="G75" s="43" t="s">
        <v>189</v>
      </c>
      <c r="H75" s="43">
        <v>6050</v>
      </c>
      <c r="I75" s="43">
        <f>J75+225</f>
        <v>95225</v>
      </c>
      <c r="J75" s="43">
        <v>95000</v>
      </c>
      <c r="K75" s="43"/>
      <c r="L75" s="43"/>
      <c r="M75" s="43"/>
      <c r="N75" s="558"/>
      <c r="O75" s="366">
        <f t="shared" si="12"/>
        <v>95000</v>
      </c>
    </row>
    <row r="76" spans="1:15" s="33" customFormat="1" ht="43.5" customHeight="1">
      <c r="A76" s="394" t="s">
        <v>306</v>
      </c>
      <c r="B76" s="572" t="s">
        <v>342</v>
      </c>
      <c r="C76" s="373" t="s">
        <v>175</v>
      </c>
      <c r="D76" s="373">
        <v>2012</v>
      </c>
      <c r="E76" s="373">
        <v>2014</v>
      </c>
      <c r="F76" s="388">
        <v>600</v>
      </c>
      <c r="G76" s="388" t="s">
        <v>189</v>
      </c>
      <c r="H76" s="388">
        <v>6050</v>
      </c>
      <c r="I76" s="388">
        <f>J76+K76</f>
        <v>649000</v>
      </c>
      <c r="J76" s="388">
        <v>149000</v>
      </c>
      <c r="K76" s="388">
        <v>500000</v>
      </c>
      <c r="L76" s="388"/>
      <c r="M76" s="388"/>
      <c r="N76" s="560"/>
      <c r="O76" s="391">
        <f t="shared" si="12"/>
        <v>649000</v>
      </c>
    </row>
    <row r="77" spans="1:15" s="33" customFormat="1" ht="24.75" customHeight="1">
      <c r="A77" s="704" t="s">
        <v>308</v>
      </c>
      <c r="B77" s="724" t="s">
        <v>300</v>
      </c>
      <c r="C77" s="694" t="s">
        <v>175</v>
      </c>
      <c r="D77" s="694">
        <v>2013</v>
      </c>
      <c r="E77" s="694">
        <v>2015</v>
      </c>
      <c r="F77" s="752" t="s">
        <v>166</v>
      </c>
      <c r="G77" s="753"/>
      <c r="H77" s="754"/>
      <c r="I77" s="522">
        <f aca="true" t="shared" si="13" ref="I77:O77">SUM(I78:I79)</f>
        <v>1256950</v>
      </c>
      <c r="J77" s="522">
        <f t="shared" si="13"/>
        <v>1044950</v>
      </c>
      <c r="K77" s="522">
        <f t="shared" si="13"/>
        <v>166000</v>
      </c>
      <c r="L77" s="522">
        <f t="shared" si="13"/>
        <v>46000</v>
      </c>
      <c r="M77" s="522">
        <f t="shared" si="13"/>
        <v>0</v>
      </c>
      <c r="N77" s="570"/>
      <c r="O77" s="571">
        <f t="shared" si="13"/>
        <v>1256950</v>
      </c>
    </row>
    <row r="78" spans="1:15" s="33" customFormat="1" ht="20.25" customHeight="1">
      <c r="A78" s="705"/>
      <c r="B78" s="712"/>
      <c r="C78" s="695"/>
      <c r="D78" s="695"/>
      <c r="E78" s="695"/>
      <c r="F78" s="696">
        <v>720</v>
      </c>
      <c r="G78" s="696">
        <v>72095</v>
      </c>
      <c r="H78" s="43">
        <v>6057</v>
      </c>
      <c r="I78" s="43">
        <f>O78</f>
        <v>1068407</v>
      </c>
      <c r="J78" s="43">
        <v>888207</v>
      </c>
      <c r="K78" s="43">
        <v>141100</v>
      </c>
      <c r="L78" s="43">
        <v>39100</v>
      </c>
      <c r="M78" s="43"/>
      <c r="N78" s="558"/>
      <c r="O78" s="366">
        <f>SUM(J78:M78)</f>
        <v>1068407</v>
      </c>
    </row>
    <row r="79" spans="1:15" s="33" customFormat="1" ht="21.75" customHeight="1">
      <c r="A79" s="705"/>
      <c r="B79" s="712"/>
      <c r="C79" s="695"/>
      <c r="D79" s="695"/>
      <c r="E79" s="695"/>
      <c r="F79" s="697"/>
      <c r="G79" s="697"/>
      <c r="H79" s="340">
        <v>6059</v>
      </c>
      <c r="I79" s="340">
        <f>O79</f>
        <v>188543</v>
      </c>
      <c r="J79" s="340">
        <v>156743</v>
      </c>
      <c r="K79" s="340">
        <v>24900</v>
      </c>
      <c r="L79" s="340">
        <v>6900</v>
      </c>
      <c r="M79" s="340"/>
      <c r="N79" s="559"/>
      <c r="O79" s="396">
        <f>SUM(J79:M79)</f>
        <v>188543</v>
      </c>
    </row>
    <row r="80" spans="1:15" s="33" customFormat="1" ht="30" customHeight="1">
      <c r="A80" s="709" t="s">
        <v>382</v>
      </c>
      <c r="B80" s="711" t="s">
        <v>328</v>
      </c>
      <c r="C80" s="699" t="s">
        <v>175</v>
      </c>
      <c r="D80" s="699">
        <v>2012</v>
      </c>
      <c r="E80" s="699">
        <v>2013</v>
      </c>
      <c r="F80" s="706" t="s">
        <v>166</v>
      </c>
      <c r="G80" s="707"/>
      <c r="H80" s="708"/>
      <c r="I80" s="134">
        <f>SUM(I81:I83)</f>
        <v>2093429</v>
      </c>
      <c r="J80" s="270">
        <f>SUM(J81:J83)</f>
        <v>2085580</v>
      </c>
      <c r="K80" s="134">
        <f>SUM(K81:K82)</f>
        <v>0</v>
      </c>
      <c r="L80" s="134">
        <f>SUM(L81:L82)</f>
        <v>0</v>
      </c>
      <c r="M80" s="134">
        <f>SUM(M81:M82)</f>
        <v>0</v>
      </c>
      <c r="N80" s="519"/>
      <c r="O80" s="395">
        <f>SUM(O81:O83)</f>
        <v>2085580</v>
      </c>
    </row>
    <row r="81" spans="1:15" s="33" customFormat="1" ht="27" customHeight="1">
      <c r="A81" s="705"/>
      <c r="B81" s="712"/>
      <c r="C81" s="695"/>
      <c r="D81" s="695"/>
      <c r="E81" s="695"/>
      <c r="F81" s="696">
        <v>720</v>
      </c>
      <c r="G81" s="696">
        <v>72095</v>
      </c>
      <c r="H81" s="43">
        <v>6057</v>
      </c>
      <c r="I81" s="43">
        <f>O81+5670</f>
        <v>1512503</v>
      </c>
      <c r="J81" s="43">
        <v>1506833</v>
      </c>
      <c r="K81" s="43"/>
      <c r="L81" s="43"/>
      <c r="M81" s="43"/>
      <c r="N81" s="558"/>
      <c r="O81" s="366">
        <f>SUM(J81:J81)</f>
        <v>1506833</v>
      </c>
    </row>
    <row r="82" spans="1:15" s="33" customFormat="1" ht="27.75" customHeight="1">
      <c r="A82" s="705"/>
      <c r="B82" s="712"/>
      <c r="C82" s="695"/>
      <c r="D82" s="695"/>
      <c r="E82" s="695"/>
      <c r="F82" s="697"/>
      <c r="G82" s="697"/>
      <c r="H82" s="340" t="s">
        <v>329</v>
      </c>
      <c r="I82" s="340">
        <f>O82+1001</f>
        <v>266912</v>
      </c>
      <c r="J82" s="43">
        <v>265911</v>
      </c>
      <c r="K82" s="43"/>
      <c r="L82" s="43"/>
      <c r="M82" s="43"/>
      <c r="N82" s="558"/>
      <c r="O82" s="366">
        <f>SUM(J82:M82)</f>
        <v>265911</v>
      </c>
    </row>
    <row r="83" spans="1:15" s="33" customFormat="1" ht="27" customHeight="1">
      <c r="A83" s="710"/>
      <c r="B83" s="713"/>
      <c r="C83" s="698"/>
      <c r="D83" s="698"/>
      <c r="E83" s="698"/>
      <c r="F83" s="698"/>
      <c r="G83" s="698"/>
      <c r="H83" s="388" t="s">
        <v>330</v>
      </c>
      <c r="I83" s="388">
        <f>J83+1178</f>
        <v>314014</v>
      </c>
      <c r="J83" s="388">
        <v>312836</v>
      </c>
      <c r="K83" s="388"/>
      <c r="L83" s="388"/>
      <c r="M83" s="388"/>
      <c r="N83" s="560"/>
      <c r="O83" s="391">
        <f>SUM(J83:M83)</f>
        <v>312836</v>
      </c>
    </row>
    <row r="84" spans="1:15" s="33" customFormat="1" ht="63" customHeight="1">
      <c r="A84" s="534" t="s">
        <v>383</v>
      </c>
      <c r="B84" s="593" t="s">
        <v>378</v>
      </c>
      <c r="C84" s="535" t="s">
        <v>175</v>
      </c>
      <c r="D84" s="410">
        <v>2013</v>
      </c>
      <c r="E84" s="410">
        <v>2014</v>
      </c>
      <c r="F84" s="531">
        <v>750</v>
      </c>
      <c r="G84" s="531">
        <v>75095</v>
      </c>
      <c r="H84" s="531">
        <v>6639</v>
      </c>
      <c r="I84" s="531">
        <f>J84+K84+4619</f>
        <v>20662</v>
      </c>
      <c r="J84" s="532">
        <v>3774</v>
      </c>
      <c r="K84" s="532">
        <v>12269</v>
      </c>
      <c r="L84" s="532"/>
      <c r="M84" s="532"/>
      <c r="N84" s="561"/>
      <c r="O84" s="533">
        <f>SUM(J84:M84)</f>
        <v>16043</v>
      </c>
    </row>
    <row r="85" spans="1:15" s="363" customFormat="1" ht="75" customHeight="1">
      <c r="A85" s="538" t="s">
        <v>193</v>
      </c>
      <c r="B85" s="539" t="s">
        <v>194</v>
      </c>
      <c r="C85" s="540"/>
      <c r="D85" s="349" t="s">
        <v>81</v>
      </c>
      <c r="E85" s="392" t="s">
        <v>81</v>
      </c>
      <c r="F85" s="392"/>
      <c r="G85" s="392"/>
      <c r="H85" s="392"/>
      <c r="I85" s="350">
        <f>I86</f>
        <v>43215898</v>
      </c>
      <c r="J85" s="350">
        <f>J86</f>
        <v>16302880</v>
      </c>
      <c r="K85" s="350">
        <f>K86</f>
        <v>13694418</v>
      </c>
      <c r="L85" s="350">
        <f>L86</f>
        <v>9412200</v>
      </c>
      <c r="M85" s="350">
        <f>M86</f>
        <v>3806400</v>
      </c>
      <c r="N85" s="562"/>
      <c r="O85" s="397">
        <f>SUM(J85:M85)</f>
        <v>43215898</v>
      </c>
    </row>
    <row r="86" spans="1:16" s="29" customFormat="1" ht="29.25" customHeight="1">
      <c r="A86" s="536"/>
      <c r="B86" s="537" t="s">
        <v>155</v>
      </c>
      <c r="C86" s="523"/>
      <c r="D86" s="345" t="s">
        <v>81</v>
      </c>
      <c r="E86" s="147" t="s">
        <v>81</v>
      </c>
      <c r="F86" s="147"/>
      <c r="G86" s="147"/>
      <c r="H86" s="147"/>
      <c r="I86" s="364">
        <f aca="true" t="shared" si="14" ref="I86:O86">SUM(I87:I126,I140,I144:I151)</f>
        <v>43215898</v>
      </c>
      <c r="J86" s="364">
        <f>SUM(J87:J126,J140,J144:J151)</f>
        <v>16302880</v>
      </c>
      <c r="K86" s="364">
        <f t="shared" si="14"/>
        <v>13694418</v>
      </c>
      <c r="L86" s="364">
        <f t="shared" si="14"/>
        <v>9412200</v>
      </c>
      <c r="M86" s="364">
        <f t="shared" si="14"/>
        <v>3806400</v>
      </c>
      <c r="N86" s="364"/>
      <c r="O86" s="364">
        <f t="shared" si="14"/>
        <v>43215898</v>
      </c>
      <c r="P86" s="232">
        <f>SUM(J86:M86)</f>
        <v>43215898</v>
      </c>
    </row>
    <row r="87" spans="1:16" ht="27" customHeight="1">
      <c r="A87" s="398" t="s">
        <v>158</v>
      </c>
      <c r="B87" s="242" t="s">
        <v>267</v>
      </c>
      <c r="C87" s="280" t="s">
        <v>175</v>
      </c>
      <c r="D87" s="345">
        <v>2013</v>
      </c>
      <c r="E87" s="345">
        <v>2016</v>
      </c>
      <c r="F87" s="345">
        <v>600</v>
      </c>
      <c r="G87" s="345">
        <v>60004</v>
      </c>
      <c r="H87" s="345">
        <v>2310</v>
      </c>
      <c r="I87" s="38">
        <f>O87</f>
        <v>2400000</v>
      </c>
      <c r="J87" s="38">
        <v>600000</v>
      </c>
      <c r="K87" s="38">
        <v>600000</v>
      </c>
      <c r="L87" s="38">
        <v>600000</v>
      </c>
      <c r="M87" s="38">
        <v>600000</v>
      </c>
      <c r="N87" s="563"/>
      <c r="O87" s="366">
        <f>SUM(J87:M87)</f>
        <v>2400000</v>
      </c>
      <c r="P87" s="14">
        <f>O86-P86</f>
        <v>0</v>
      </c>
    </row>
    <row r="88" spans="1:16" ht="25.5" customHeight="1">
      <c r="A88" s="398" t="s">
        <v>115</v>
      </c>
      <c r="B88" s="242" t="s">
        <v>268</v>
      </c>
      <c r="C88" s="280" t="s">
        <v>175</v>
      </c>
      <c r="D88" s="345">
        <v>2013</v>
      </c>
      <c r="E88" s="345">
        <v>2016</v>
      </c>
      <c r="F88" s="345">
        <v>600</v>
      </c>
      <c r="G88" s="345">
        <v>60004</v>
      </c>
      <c r="H88" s="345">
        <v>2310</v>
      </c>
      <c r="I88" s="38">
        <f aca="true" t="shared" si="15" ref="I88:I125">O88</f>
        <v>4680000</v>
      </c>
      <c r="J88" s="38">
        <v>1170000</v>
      </c>
      <c r="K88" s="38">
        <v>1170000</v>
      </c>
      <c r="L88" s="38">
        <v>1170000</v>
      </c>
      <c r="M88" s="38">
        <v>1170000</v>
      </c>
      <c r="N88" s="563"/>
      <c r="O88" s="366">
        <f aca="true" t="shared" si="16" ref="O88:O125">SUM(J88:M88)</f>
        <v>4680000</v>
      </c>
      <c r="P88" s="14" t="e">
        <f>#REF!+#REF!</f>
        <v>#REF!</v>
      </c>
    </row>
    <row r="89" spans="1:15" ht="25.5" customHeight="1">
      <c r="A89" s="398" t="s">
        <v>117</v>
      </c>
      <c r="B89" s="242" t="s">
        <v>307</v>
      </c>
      <c r="C89" s="280" t="s">
        <v>175</v>
      </c>
      <c r="D89" s="345">
        <v>2013</v>
      </c>
      <c r="E89" s="345">
        <v>2016</v>
      </c>
      <c r="F89" s="345">
        <v>600</v>
      </c>
      <c r="G89" s="345">
        <v>60004</v>
      </c>
      <c r="H89" s="345">
        <v>4300</v>
      </c>
      <c r="I89" s="38">
        <f t="shared" si="15"/>
        <v>3920000</v>
      </c>
      <c r="J89" s="38">
        <v>980000</v>
      </c>
      <c r="K89" s="38">
        <v>980000</v>
      </c>
      <c r="L89" s="38">
        <v>980000</v>
      </c>
      <c r="M89" s="38">
        <v>980000</v>
      </c>
      <c r="N89" s="563"/>
      <c r="O89" s="366">
        <f t="shared" si="16"/>
        <v>3920000</v>
      </c>
    </row>
    <row r="90" spans="1:15" ht="21" customHeight="1">
      <c r="A90" s="398" t="s">
        <v>119</v>
      </c>
      <c r="B90" s="242" t="s">
        <v>234</v>
      </c>
      <c r="C90" s="280" t="s">
        <v>175</v>
      </c>
      <c r="D90" s="345">
        <v>2013</v>
      </c>
      <c r="E90" s="345">
        <v>2013</v>
      </c>
      <c r="F90" s="345">
        <v>600</v>
      </c>
      <c r="G90" s="345">
        <v>60016</v>
      </c>
      <c r="H90" s="345">
        <v>4270</v>
      </c>
      <c r="I90" s="38">
        <f t="shared" si="15"/>
        <v>3000000</v>
      </c>
      <c r="J90" s="38">
        <v>3000000</v>
      </c>
      <c r="K90" s="38"/>
      <c r="L90" s="38">
        <v>0</v>
      </c>
      <c r="M90" s="38">
        <v>0</v>
      </c>
      <c r="N90" s="563"/>
      <c r="O90" s="366">
        <f t="shared" si="16"/>
        <v>3000000</v>
      </c>
    </row>
    <row r="91" spans="1:15" ht="21" customHeight="1">
      <c r="A91" s="398" t="s">
        <v>121</v>
      </c>
      <c r="B91" s="242" t="s">
        <v>237</v>
      </c>
      <c r="C91" s="280" t="s">
        <v>175</v>
      </c>
      <c r="D91" s="345">
        <v>2013</v>
      </c>
      <c r="E91" s="345">
        <v>2014</v>
      </c>
      <c r="F91" s="345">
        <v>600</v>
      </c>
      <c r="G91" s="345">
        <v>60016</v>
      </c>
      <c r="H91" s="345">
        <v>4300</v>
      </c>
      <c r="I91" s="38">
        <f t="shared" si="15"/>
        <v>1200000</v>
      </c>
      <c r="J91" s="38">
        <v>600000</v>
      </c>
      <c r="K91" s="38">
        <v>600000</v>
      </c>
      <c r="L91" s="38">
        <v>0</v>
      </c>
      <c r="M91" s="38">
        <v>0</v>
      </c>
      <c r="N91" s="563"/>
      <c r="O91" s="366">
        <f t="shared" si="16"/>
        <v>1200000</v>
      </c>
    </row>
    <row r="92" spans="1:15" ht="54.75" customHeight="1">
      <c r="A92" s="398" t="s">
        <v>123</v>
      </c>
      <c r="B92" s="242" t="s">
        <v>226</v>
      </c>
      <c r="C92" s="455" t="s">
        <v>245</v>
      </c>
      <c r="D92" s="345">
        <v>2013</v>
      </c>
      <c r="E92" s="345">
        <v>2014</v>
      </c>
      <c r="F92" s="345">
        <v>600</v>
      </c>
      <c r="G92" s="345">
        <v>60016</v>
      </c>
      <c r="H92" s="345">
        <v>4300</v>
      </c>
      <c r="I92" s="38">
        <f t="shared" si="15"/>
        <v>100000</v>
      </c>
      <c r="J92" s="38">
        <v>50000</v>
      </c>
      <c r="K92" s="38">
        <v>50000</v>
      </c>
      <c r="L92" s="38">
        <v>0</v>
      </c>
      <c r="M92" s="38">
        <v>0</v>
      </c>
      <c r="N92" s="563"/>
      <c r="O92" s="366">
        <f t="shared" si="16"/>
        <v>100000</v>
      </c>
    </row>
    <row r="93" spans="1:15" ht="39" customHeight="1">
      <c r="A93" s="398" t="s">
        <v>125</v>
      </c>
      <c r="B93" s="399" t="s">
        <v>266</v>
      </c>
      <c r="C93" s="280" t="s">
        <v>345</v>
      </c>
      <c r="D93" s="345">
        <v>2013</v>
      </c>
      <c r="E93" s="400">
        <v>2016</v>
      </c>
      <c r="F93" s="400">
        <v>600</v>
      </c>
      <c r="G93" s="400">
        <v>60016</v>
      </c>
      <c r="H93" s="400">
        <v>4400</v>
      </c>
      <c r="I93" s="38">
        <f t="shared" si="15"/>
        <v>60000</v>
      </c>
      <c r="J93" s="401">
        <v>15000</v>
      </c>
      <c r="K93" s="401">
        <v>15000</v>
      </c>
      <c r="L93" s="401">
        <v>15000</v>
      </c>
      <c r="M93" s="401">
        <v>15000</v>
      </c>
      <c r="N93" s="564"/>
      <c r="O93" s="366">
        <f t="shared" si="16"/>
        <v>60000</v>
      </c>
    </row>
    <row r="94" spans="1:15" ht="21.75" customHeight="1">
      <c r="A94" s="398" t="s">
        <v>127</v>
      </c>
      <c r="B94" s="242" t="s">
        <v>363</v>
      </c>
      <c r="C94" s="280" t="s">
        <v>245</v>
      </c>
      <c r="D94" s="345">
        <v>2013</v>
      </c>
      <c r="E94" s="345">
        <v>2016</v>
      </c>
      <c r="F94" s="345">
        <v>700</v>
      </c>
      <c r="G94" s="345">
        <v>70005</v>
      </c>
      <c r="H94" s="345">
        <v>4300</v>
      </c>
      <c r="I94" s="38">
        <f t="shared" si="15"/>
        <v>400000</v>
      </c>
      <c r="J94" s="38">
        <v>100000</v>
      </c>
      <c r="K94" s="38">
        <v>100000</v>
      </c>
      <c r="L94" s="38">
        <v>100000</v>
      </c>
      <c r="M94" s="38">
        <v>100000</v>
      </c>
      <c r="N94" s="563"/>
      <c r="O94" s="366">
        <f t="shared" si="16"/>
        <v>400000</v>
      </c>
    </row>
    <row r="95" spans="1:15" ht="21.75" customHeight="1">
      <c r="A95" s="398" t="s">
        <v>129</v>
      </c>
      <c r="B95" s="242" t="s">
        <v>344</v>
      </c>
      <c r="C95" s="280" t="s">
        <v>175</v>
      </c>
      <c r="D95" s="345">
        <v>2013</v>
      </c>
      <c r="E95" s="345">
        <v>2016</v>
      </c>
      <c r="F95" s="345">
        <v>700</v>
      </c>
      <c r="G95" s="345">
        <v>70005</v>
      </c>
      <c r="H95" s="345">
        <v>4400</v>
      </c>
      <c r="I95" s="38">
        <f t="shared" si="15"/>
        <v>74700</v>
      </c>
      <c r="J95" s="38">
        <v>18100</v>
      </c>
      <c r="K95" s="38">
        <v>18600</v>
      </c>
      <c r="L95" s="38">
        <v>19000</v>
      </c>
      <c r="M95" s="38">
        <v>19000</v>
      </c>
      <c r="N95" s="563"/>
      <c r="O95" s="366">
        <f t="shared" si="16"/>
        <v>74700</v>
      </c>
    </row>
    <row r="96" spans="1:15" ht="29.25" customHeight="1">
      <c r="A96" s="398" t="s">
        <v>132</v>
      </c>
      <c r="B96" s="242" t="s">
        <v>198</v>
      </c>
      <c r="C96" s="280" t="s">
        <v>345</v>
      </c>
      <c r="D96" s="345">
        <v>2013</v>
      </c>
      <c r="E96" s="345">
        <v>2014</v>
      </c>
      <c r="F96" s="345">
        <v>700</v>
      </c>
      <c r="G96" s="345">
        <v>70005</v>
      </c>
      <c r="H96" s="345">
        <v>4400</v>
      </c>
      <c r="I96" s="38">
        <f t="shared" si="15"/>
        <v>3600</v>
      </c>
      <c r="J96" s="345">
        <v>1800</v>
      </c>
      <c r="K96" s="38">
        <v>1800</v>
      </c>
      <c r="L96" s="38">
        <v>0</v>
      </c>
      <c r="M96" s="38">
        <v>0</v>
      </c>
      <c r="N96" s="563"/>
      <c r="O96" s="366">
        <f t="shared" si="16"/>
        <v>3600</v>
      </c>
    </row>
    <row r="97" spans="1:15" ht="31.5" customHeight="1">
      <c r="A97" s="398" t="s">
        <v>136</v>
      </c>
      <c r="B97" s="242" t="s">
        <v>195</v>
      </c>
      <c r="C97" s="280" t="s">
        <v>175</v>
      </c>
      <c r="D97" s="345">
        <v>2013</v>
      </c>
      <c r="E97" s="345">
        <v>2016</v>
      </c>
      <c r="F97" s="345">
        <v>700</v>
      </c>
      <c r="G97" s="345">
        <v>70005</v>
      </c>
      <c r="H97" s="345">
        <v>4400</v>
      </c>
      <c r="I97" s="38">
        <f t="shared" si="15"/>
        <v>96000</v>
      </c>
      <c r="J97" s="38">
        <v>24000</v>
      </c>
      <c r="K97" s="38">
        <v>24000</v>
      </c>
      <c r="L97" s="38">
        <v>24000</v>
      </c>
      <c r="M97" s="38">
        <v>24000</v>
      </c>
      <c r="N97" s="563"/>
      <c r="O97" s="366">
        <f t="shared" si="16"/>
        <v>96000</v>
      </c>
    </row>
    <row r="98" spans="1:15" ht="51.75" customHeight="1">
      <c r="A98" s="398" t="s">
        <v>138</v>
      </c>
      <c r="B98" s="242" t="s">
        <v>227</v>
      </c>
      <c r="C98" s="280" t="s">
        <v>345</v>
      </c>
      <c r="D98" s="345">
        <v>2013</v>
      </c>
      <c r="E98" s="345">
        <v>2014</v>
      </c>
      <c r="F98" s="345">
        <v>700</v>
      </c>
      <c r="G98" s="345">
        <v>70005</v>
      </c>
      <c r="H98" s="345">
        <v>4400</v>
      </c>
      <c r="I98" s="38">
        <f t="shared" si="15"/>
        <v>72000</v>
      </c>
      <c r="J98" s="38">
        <v>36000</v>
      </c>
      <c r="K98" s="38">
        <v>36000</v>
      </c>
      <c r="L98" s="38">
        <v>0</v>
      </c>
      <c r="M98" s="38">
        <v>0</v>
      </c>
      <c r="N98" s="563"/>
      <c r="O98" s="366">
        <f t="shared" si="16"/>
        <v>72000</v>
      </c>
    </row>
    <row r="99" spans="1:15" ht="33.75" customHeight="1">
      <c r="A99" s="398" t="s">
        <v>140</v>
      </c>
      <c r="B99" s="242" t="s">
        <v>362</v>
      </c>
      <c r="C99" s="280" t="s">
        <v>345</v>
      </c>
      <c r="D99" s="345">
        <v>2013</v>
      </c>
      <c r="E99" s="345">
        <v>2016</v>
      </c>
      <c r="F99" s="345">
        <v>700</v>
      </c>
      <c r="G99" s="345">
        <v>70005</v>
      </c>
      <c r="H99" s="345">
        <v>4400</v>
      </c>
      <c r="I99" s="38">
        <f t="shared" si="15"/>
        <v>1353000</v>
      </c>
      <c r="J99" s="38">
        <v>369000</v>
      </c>
      <c r="K99" s="38">
        <v>369000</v>
      </c>
      <c r="L99" s="38">
        <v>369000</v>
      </c>
      <c r="M99" s="38">
        <v>246000</v>
      </c>
      <c r="N99" s="563"/>
      <c r="O99" s="366">
        <f t="shared" si="16"/>
        <v>1353000</v>
      </c>
    </row>
    <row r="100" spans="1:15" ht="29.25" customHeight="1">
      <c r="A100" s="398" t="s">
        <v>141</v>
      </c>
      <c r="B100" s="399" t="s">
        <v>361</v>
      </c>
      <c r="C100" s="373" t="s">
        <v>175</v>
      </c>
      <c r="D100" s="400">
        <v>2013</v>
      </c>
      <c r="E100" s="400">
        <v>2014</v>
      </c>
      <c r="F100" s="400">
        <v>700</v>
      </c>
      <c r="G100" s="400">
        <v>70005</v>
      </c>
      <c r="H100" s="400">
        <v>4400</v>
      </c>
      <c r="I100" s="401">
        <f t="shared" si="15"/>
        <v>150000</v>
      </c>
      <c r="J100" s="401">
        <v>75000</v>
      </c>
      <c r="K100" s="401">
        <v>75000</v>
      </c>
      <c r="L100" s="401"/>
      <c r="M100" s="401"/>
      <c r="N100" s="568"/>
      <c r="O100" s="391">
        <f t="shared" si="16"/>
        <v>150000</v>
      </c>
    </row>
    <row r="101" spans="1:15" ht="29.25" customHeight="1">
      <c r="A101" s="398" t="s">
        <v>201</v>
      </c>
      <c r="B101" s="338" t="s">
        <v>290</v>
      </c>
      <c r="C101" s="343" t="s">
        <v>175</v>
      </c>
      <c r="D101" s="344">
        <v>2013</v>
      </c>
      <c r="E101" s="344">
        <v>2014</v>
      </c>
      <c r="F101" s="344">
        <v>700</v>
      </c>
      <c r="G101" s="344">
        <v>70005</v>
      </c>
      <c r="H101" s="344">
        <v>4400</v>
      </c>
      <c r="I101" s="339">
        <f t="shared" si="15"/>
        <v>392628</v>
      </c>
      <c r="J101" s="403">
        <v>208854</v>
      </c>
      <c r="K101" s="403">
        <v>183774</v>
      </c>
      <c r="L101" s="403"/>
      <c r="M101" s="339"/>
      <c r="N101" s="565"/>
      <c r="O101" s="466">
        <f t="shared" si="16"/>
        <v>392628</v>
      </c>
    </row>
    <row r="102" spans="1:15" ht="29.25" customHeight="1">
      <c r="A102" s="398" t="s">
        <v>240</v>
      </c>
      <c r="B102" s="242" t="s">
        <v>324</v>
      </c>
      <c r="C102" s="280" t="s">
        <v>345</v>
      </c>
      <c r="D102" s="345">
        <v>2013</v>
      </c>
      <c r="E102" s="345">
        <v>2014</v>
      </c>
      <c r="F102" s="345">
        <v>700</v>
      </c>
      <c r="G102" s="345">
        <v>70005</v>
      </c>
      <c r="H102" s="345">
        <v>4400</v>
      </c>
      <c r="I102" s="38">
        <f t="shared" si="15"/>
        <v>3600</v>
      </c>
      <c r="J102" s="345">
        <v>1800</v>
      </c>
      <c r="K102" s="38">
        <v>1800</v>
      </c>
      <c r="L102" s="38">
        <v>0</v>
      </c>
      <c r="M102" s="38">
        <v>0</v>
      </c>
      <c r="N102" s="563"/>
      <c r="O102" s="366">
        <f t="shared" si="16"/>
        <v>3600</v>
      </c>
    </row>
    <row r="103" spans="1:15" ht="26.25" customHeight="1">
      <c r="A103" s="398" t="s">
        <v>241</v>
      </c>
      <c r="B103" s="242" t="s">
        <v>334</v>
      </c>
      <c r="C103" s="280" t="s">
        <v>345</v>
      </c>
      <c r="D103" s="345">
        <v>2013</v>
      </c>
      <c r="E103" s="345">
        <v>2014</v>
      </c>
      <c r="F103" s="345">
        <v>700</v>
      </c>
      <c r="G103" s="345">
        <v>70005</v>
      </c>
      <c r="H103" s="345">
        <v>4400</v>
      </c>
      <c r="I103" s="38">
        <f t="shared" si="15"/>
        <v>40000</v>
      </c>
      <c r="J103" s="271">
        <v>20000</v>
      </c>
      <c r="K103" s="271">
        <v>20000</v>
      </c>
      <c r="L103" s="271"/>
      <c r="M103" s="38"/>
      <c r="N103" s="563"/>
      <c r="O103" s="366">
        <f t="shared" si="16"/>
        <v>40000</v>
      </c>
    </row>
    <row r="104" spans="1:15" ht="27" customHeight="1">
      <c r="A104" s="398" t="s">
        <v>242</v>
      </c>
      <c r="B104" s="242" t="s">
        <v>326</v>
      </c>
      <c r="C104" s="280" t="s">
        <v>345</v>
      </c>
      <c r="D104" s="345">
        <v>2013</v>
      </c>
      <c r="E104" s="345">
        <v>2014</v>
      </c>
      <c r="F104" s="345">
        <v>700</v>
      </c>
      <c r="G104" s="345">
        <v>70005</v>
      </c>
      <c r="H104" s="345">
        <v>4590</v>
      </c>
      <c r="I104" s="38">
        <f t="shared" si="15"/>
        <v>1200000</v>
      </c>
      <c r="J104" s="271">
        <v>1000000</v>
      </c>
      <c r="K104" s="271">
        <v>200000</v>
      </c>
      <c r="L104" s="271"/>
      <c r="M104" s="38"/>
      <c r="N104" s="563"/>
      <c r="O104" s="366">
        <f t="shared" si="16"/>
        <v>1200000</v>
      </c>
    </row>
    <row r="105" spans="1:18" ht="27" customHeight="1">
      <c r="A105" s="398" t="s">
        <v>243</v>
      </c>
      <c r="B105" s="273" t="s">
        <v>261</v>
      </c>
      <c r="C105" s="280" t="s">
        <v>262</v>
      </c>
      <c r="D105" s="345">
        <v>2013</v>
      </c>
      <c r="E105" s="345">
        <v>2016</v>
      </c>
      <c r="F105" s="345">
        <v>710</v>
      </c>
      <c r="G105" s="345">
        <v>71004</v>
      </c>
      <c r="H105" s="345">
        <v>4300</v>
      </c>
      <c r="I105" s="38">
        <f t="shared" si="15"/>
        <v>1120000</v>
      </c>
      <c r="J105" s="38">
        <v>280000</v>
      </c>
      <c r="K105" s="38">
        <v>280000</v>
      </c>
      <c r="L105" s="38">
        <v>280000</v>
      </c>
      <c r="M105" s="38">
        <v>280000</v>
      </c>
      <c r="N105" s="563"/>
      <c r="O105" s="366">
        <f t="shared" si="16"/>
        <v>1120000</v>
      </c>
      <c r="P105" s="402">
        <v>280000</v>
      </c>
      <c r="Q105" s="38"/>
      <c r="R105" s="133">
        <f>SUM(K105:P105)</f>
        <v>2240000</v>
      </c>
    </row>
    <row r="106" spans="1:18" ht="29.25" customHeight="1">
      <c r="A106" s="398" t="s">
        <v>244</v>
      </c>
      <c r="B106" s="242" t="s">
        <v>196</v>
      </c>
      <c r="C106" s="280" t="s">
        <v>197</v>
      </c>
      <c r="D106" s="345">
        <v>2013</v>
      </c>
      <c r="E106" s="345">
        <v>2014</v>
      </c>
      <c r="F106" s="345">
        <v>750</v>
      </c>
      <c r="G106" s="345">
        <v>75023</v>
      </c>
      <c r="H106" s="345">
        <v>4300</v>
      </c>
      <c r="I106" s="38">
        <f t="shared" si="15"/>
        <v>366000</v>
      </c>
      <c r="J106" s="271">
        <v>183000</v>
      </c>
      <c r="K106" s="271">
        <v>183000</v>
      </c>
      <c r="L106" s="271">
        <v>0</v>
      </c>
      <c r="M106" s="38">
        <v>0</v>
      </c>
      <c r="N106" s="563"/>
      <c r="O106" s="366">
        <f t="shared" si="16"/>
        <v>366000</v>
      </c>
      <c r="P106" s="274"/>
      <c r="Q106" s="274"/>
      <c r="R106" s="245"/>
    </row>
    <row r="107" spans="1:18" ht="27" customHeight="1">
      <c r="A107" s="398" t="s">
        <v>337</v>
      </c>
      <c r="B107" s="399" t="s">
        <v>346</v>
      </c>
      <c r="C107" s="373" t="s">
        <v>245</v>
      </c>
      <c r="D107" s="345">
        <v>2013</v>
      </c>
      <c r="E107" s="400">
        <v>2016</v>
      </c>
      <c r="F107" s="400">
        <v>750</v>
      </c>
      <c r="G107" s="400">
        <v>75023</v>
      </c>
      <c r="H107" s="400">
        <v>4300</v>
      </c>
      <c r="I107" s="38">
        <f t="shared" si="15"/>
        <v>1240000</v>
      </c>
      <c r="J107" s="401">
        <v>340000</v>
      </c>
      <c r="K107" s="401">
        <v>300000</v>
      </c>
      <c r="L107" s="401">
        <v>300000</v>
      </c>
      <c r="M107" s="401">
        <v>300000</v>
      </c>
      <c r="N107" s="564"/>
      <c r="O107" s="366">
        <f t="shared" si="16"/>
        <v>1240000</v>
      </c>
      <c r="P107" s="274"/>
      <c r="Q107" s="274"/>
      <c r="R107" s="245"/>
    </row>
    <row r="108" spans="1:18" ht="27.75" customHeight="1">
      <c r="A108" s="398" t="s">
        <v>254</v>
      </c>
      <c r="B108" s="338" t="s">
        <v>291</v>
      </c>
      <c r="C108" s="343" t="s">
        <v>270</v>
      </c>
      <c r="D108" s="345">
        <v>2013</v>
      </c>
      <c r="E108" s="344">
        <v>2015</v>
      </c>
      <c r="F108" s="344">
        <v>750</v>
      </c>
      <c r="G108" s="344">
        <v>75023</v>
      </c>
      <c r="H108" s="344">
        <v>4360</v>
      </c>
      <c r="I108" s="38">
        <f t="shared" si="15"/>
        <v>20650</v>
      </c>
      <c r="J108" s="404">
        <v>6650</v>
      </c>
      <c r="K108" s="403">
        <v>7000</v>
      </c>
      <c r="L108" s="403">
        <v>7000</v>
      </c>
      <c r="M108" s="339"/>
      <c r="N108" s="565"/>
      <c r="O108" s="366">
        <f t="shared" si="16"/>
        <v>20650</v>
      </c>
      <c r="P108" s="274"/>
      <c r="Q108" s="274"/>
      <c r="R108" s="245"/>
    </row>
    <row r="109" spans="1:18" ht="27.75" customHeight="1">
      <c r="A109" s="398" t="s">
        <v>255</v>
      </c>
      <c r="B109" s="242" t="s">
        <v>347</v>
      </c>
      <c r="C109" s="280" t="s">
        <v>270</v>
      </c>
      <c r="D109" s="345">
        <v>2013</v>
      </c>
      <c r="E109" s="345">
        <v>2014</v>
      </c>
      <c r="F109" s="345">
        <v>750</v>
      </c>
      <c r="G109" s="345">
        <v>75023</v>
      </c>
      <c r="H109" s="345">
        <v>4430</v>
      </c>
      <c r="I109" s="38">
        <f t="shared" si="15"/>
        <v>64000</v>
      </c>
      <c r="J109" s="271">
        <v>32000</v>
      </c>
      <c r="K109" s="271">
        <v>32000</v>
      </c>
      <c r="L109" s="271"/>
      <c r="M109" s="38"/>
      <c r="N109" s="563"/>
      <c r="O109" s="366">
        <f t="shared" si="16"/>
        <v>64000</v>
      </c>
      <c r="P109" s="274"/>
      <c r="Q109" s="274"/>
      <c r="R109" s="245"/>
    </row>
    <row r="110" spans="1:18" ht="55.5" customHeight="1">
      <c r="A110" s="398" t="s">
        <v>259</v>
      </c>
      <c r="B110" s="242" t="s">
        <v>274</v>
      </c>
      <c r="C110" s="280" t="s">
        <v>270</v>
      </c>
      <c r="D110" s="345">
        <v>2013</v>
      </c>
      <c r="E110" s="345">
        <v>2014</v>
      </c>
      <c r="F110" s="345">
        <v>750</v>
      </c>
      <c r="G110" s="345">
        <v>75075</v>
      </c>
      <c r="H110" s="345">
        <v>4300</v>
      </c>
      <c r="I110" s="38">
        <f t="shared" si="15"/>
        <v>459755</v>
      </c>
      <c r="J110" s="38">
        <v>209755</v>
      </c>
      <c r="K110" s="38">
        <v>250000</v>
      </c>
      <c r="L110" s="38"/>
      <c r="M110" s="38"/>
      <c r="N110" s="563"/>
      <c r="O110" s="366">
        <f t="shared" si="16"/>
        <v>459755</v>
      </c>
      <c r="P110" s="274"/>
      <c r="Q110" s="274"/>
      <c r="R110" s="245"/>
    </row>
    <row r="111" spans="1:18" ht="30" customHeight="1">
      <c r="A111" s="398" t="s">
        <v>263</v>
      </c>
      <c r="B111" s="242" t="s">
        <v>269</v>
      </c>
      <c r="C111" s="280" t="s">
        <v>175</v>
      </c>
      <c r="D111" s="345">
        <v>2013</v>
      </c>
      <c r="E111" s="345">
        <v>2015</v>
      </c>
      <c r="F111" s="345">
        <v>754</v>
      </c>
      <c r="G111" s="345">
        <v>75412</v>
      </c>
      <c r="H111" s="345">
        <v>4300</v>
      </c>
      <c r="I111" s="38">
        <f t="shared" si="15"/>
        <v>2861</v>
      </c>
      <c r="J111" s="38">
        <v>861</v>
      </c>
      <c r="K111" s="38">
        <v>1000</v>
      </c>
      <c r="L111" s="38">
        <v>1000</v>
      </c>
      <c r="M111" s="38">
        <v>0</v>
      </c>
      <c r="N111" s="563"/>
      <c r="O111" s="366">
        <f t="shared" si="16"/>
        <v>2861</v>
      </c>
      <c r="P111" s="274"/>
      <c r="Q111" s="274"/>
      <c r="R111" s="245"/>
    </row>
    <row r="112" spans="1:18" ht="27.75" customHeight="1">
      <c r="A112" s="398" t="s">
        <v>275</v>
      </c>
      <c r="B112" s="242" t="s">
        <v>335</v>
      </c>
      <c r="C112" s="280" t="s">
        <v>345</v>
      </c>
      <c r="D112" s="345">
        <v>2013</v>
      </c>
      <c r="E112" s="345">
        <v>2014</v>
      </c>
      <c r="F112" s="345">
        <v>754</v>
      </c>
      <c r="G112" s="345">
        <v>75412</v>
      </c>
      <c r="H112" s="345">
        <v>4400</v>
      </c>
      <c r="I112" s="38">
        <f t="shared" si="15"/>
        <v>130488</v>
      </c>
      <c r="J112" s="38">
        <v>65244</v>
      </c>
      <c r="K112" s="38">
        <v>65244</v>
      </c>
      <c r="L112" s="38">
        <v>0</v>
      </c>
      <c r="M112" s="38">
        <v>0</v>
      </c>
      <c r="N112" s="563"/>
      <c r="O112" s="366">
        <f t="shared" si="16"/>
        <v>130488</v>
      </c>
      <c r="P112" s="274"/>
      <c r="Q112" s="274"/>
      <c r="R112" s="245"/>
    </row>
    <row r="113" spans="1:18" ht="25.5" customHeight="1">
      <c r="A113" s="398" t="s">
        <v>276</v>
      </c>
      <c r="B113" s="242" t="s">
        <v>348</v>
      </c>
      <c r="C113" s="280" t="s">
        <v>175</v>
      </c>
      <c r="D113" s="345">
        <v>2013</v>
      </c>
      <c r="E113" s="345">
        <v>2014</v>
      </c>
      <c r="F113" s="345">
        <v>754</v>
      </c>
      <c r="G113" s="345">
        <v>75412</v>
      </c>
      <c r="H113" s="345">
        <v>4430</v>
      </c>
      <c r="I113" s="38">
        <f t="shared" si="15"/>
        <v>70000</v>
      </c>
      <c r="J113" s="38">
        <v>35000</v>
      </c>
      <c r="K113" s="38">
        <v>35000</v>
      </c>
      <c r="L113" s="38">
        <v>0</v>
      </c>
      <c r="M113" s="38">
        <v>0</v>
      </c>
      <c r="N113" s="563"/>
      <c r="O113" s="366">
        <f t="shared" si="16"/>
        <v>70000</v>
      </c>
      <c r="P113" s="274"/>
      <c r="Q113" s="274"/>
      <c r="R113" s="245"/>
    </row>
    <row r="114" spans="1:18" ht="29.25" customHeight="1">
      <c r="A114" s="398" t="s">
        <v>277</v>
      </c>
      <c r="B114" s="242" t="s">
        <v>364</v>
      </c>
      <c r="C114" s="280" t="s">
        <v>270</v>
      </c>
      <c r="D114" s="345">
        <v>2013</v>
      </c>
      <c r="E114" s="345">
        <v>2015</v>
      </c>
      <c r="F114" s="345">
        <v>754</v>
      </c>
      <c r="G114" s="345">
        <v>75412</v>
      </c>
      <c r="H114" s="345">
        <v>4360</v>
      </c>
      <c r="I114" s="38">
        <f t="shared" si="15"/>
        <v>3800</v>
      </c>
      <c r="J114" s="275">
        <v>1200</v>
      </c>
      <c r="K114" s="271">
        <v>1300</v>
      </c>
      <c r="L114" s="271">
        <v>1300</v>
      </c>
      <c r="M114" s="38"/>
      <c r="N114" s="563"/>
      <c r="O114" s="366">
        <f t="shared" si="16"/>
        <v>3800</v>
      </c>
      <c r="P114" s="274"/>
      <c r="Q114" s="274"/>
      <c r="R114" s="245"/>
    </row>
    <row r="115" spans="1:15" ht="27.75" customHeight="1">
      <c r="A115" s="398" t="s">
        <v>278</v>
      </c>
      <c r="B115" s="242" t="s">
        <v>365</v>
      </c>
      <c r="C115" s="280" t="s">
        <v>239</v>
      </c>
      <c r="D115" s="345">
        <v>2013</v>
      </c>
      <c r="E115" s="345">
        <v>2014</v>
      </c>
      <c r="F115" s="345">
        <v>801</v>
      </c>
      <c r="G115" s="345">
        <v>80101</v>
      </c>
      <c r="H115" s="345">
        <v>4260</v>
      </c>
      <c r="I115" s="38">
        <f t="shared" si="15"/>
        <v>720000</v>
      </c>
      <c r="J115" s="38">
        <v>350000</v>
      </c>
      <c r="K115" s="38">
        <v>370000</v>
      </c>
      <c r="L115" s="38"/>
      <c r="M115" s="38"/>
      <c r="N115" s="563"/>
      <c r="O115" s="366">
        <f t="shared" si="16"/>
        <v>720000</v>
      </c>
    </row>
    <row r="116" spans="1:15" ht="38.25" customHeight="1">
      <c r="A116" s="398" t="s">
        <v>279</v>
      </c>
      <c r="B116" s="405" t="s">
        <v>349</v>
      </c>
      <c r="C116" s="462" t="s">
        <v>239</v>
      </c>
      <c r="D116" s="345">
        <v>2013</v>
      </c>
      <c r="E116" s="463">
        <v>2016</v>
      </c>
      <c r="F116" s="463">
        <v>801</v>
      </c>
      <c r="G116" s="463">
        <v>80101</v>
      </c>
      <c r="H116" s="463">
        <v>4300</v>
      </c>
      <c r="I116" s="38">
        <f t="shared" si="15"/>
        <v>169600</v>
      </c>
      <c r="J116" s="408">
        <v>42400</v>
      </c>
      <c r="K116" s="407">
        <v>42400</v>
      </c>
      <c r="L116" s="407">
        <v>42400</v>
      </c>
      <c r="M116" s="406">
        <v>42400</v>
      </c>
      <c r="N116" s="564"/>
      <c r="O116" s="366">
        <f t="shared" si="16"/>
        <v>169600</v>
      </c>
    </row>
    <row r="117" spans="1:15" ht="27.75" customHeight="1">
      <c r="A117" s="398" t="s">
        <v>280</v>
      </c>
      <c r="B117" s="409" t="s">
        <v>366</v>
      </c>
      <c r="C117" s="410" t="s">
        <v>239</v>
      </c>
      <c r="D117" s="400">
        <v>2013</v>
      </c>
      <c r="E117" s="400">
        <v>2015</v>
      </c>
      <c r="F117" s="411">
        <v>801</v>
      </c>
      <c r="G117" s="411">
        <v>80101</v>
      </c>
      <c r="H117" s="411">
        <v>4360</v>
      </c>
      <c r="I117" s="38">
        <f t="shared" si="15"/>
        <v>33000</v>
      </c>
      <c r="J117" s="414">
        <v>11000</v>
      </c>
      <c r="K117" s="413">
        <v>11000</v>
      </c>
      <c r="L117" s="413">
        <v>11000</v>
      </c>
      <c r="M117" s="412"/>
      <c r="N117" s="566"/>
      <c r="O117" s="391">
        <f t="shared" si="16"/>
        <v>33000</v>
      </c>
    </row>
    <row r="118" spans="1:15" ht="27.75" customHeight="1">
      <c r="A118" s="398" t="s">
        <v>281</v>
      </c>
      <c r="B118" s="338" t="s">
        <v>367</v>
      </c>
      <c r="C118" s="343" t="s">
        <v>239</v>
      </c>
      <c r="D118" s="344">
        <v>2013</v>
      </c>
      <c r="E118" s="467">
        <v>2015</v>
      </c>
      <c r="F118" s="344">
        <v>801</v>
      </c>
      <c r="G118" s="344">
        <v>80104</v>
      </c>
      <c r="H118" s="344">
        <v>4260</v>
      </c>
      <c r="I118" s="38">
        <f t="shared" si="15"/>
        <v>273000</v>
      </c>
      <c r="J118" s="339">
        <v>84000</v>
      </c>
      <c r="K118" s="339">
        <v>89000</v>
      </c>
      <c r="L118" s="339">
        <v>100000</v>
      </c>
      <c r="M118" s="339"/>
      <c r="N118" s="565"/>
      <c r="O118" s="466">
        <f t="shared" si="16"/>
        <v>273000</v>
      </c>
    </row>
    <row r="119" spans="1:15" ht="27.75" customHeight="1">
      <c r="A119" s="398" t="s">
        <v>282</v>
      </c>
      <c r="B119" s="338" t="s">
        <v>375</v>
      </c>
      <c r="C119" s="343" t="s">
        <v>239</v>
      </c>
      <c r="D119" s="344">
        <v>2013</v>
      </c>
      <c r="E119" s="345">
        <v>2016</v>
      </c>
      <c r="F119" s="344">
        <v>801</v>
      </c>
      <c r="G119" s="344">
        <v>80104</v>
      </c>
      <c r="H119" s="344">
        <v>4300</v>
      </c>
      <c r="I119" s="38">
        <f>O119</f>
        <v>80000</v>
      </c>
      <c r="J119" s="339">
        <v>20000</v>
      </c>
      <c r="K119" s="339">
        <v>20000</v>
      </c>
      <c r="L119" s="339">
        <v>20000</v>
      </c>
      <c r="M119" s="339">
        <v>20000</v>
      </c>
      <c r="N119" s="565"/>
      <c r="O119" s="466">
        <f>SUM(J119:M119)</f>
        <v>80000</v>
      </c>
    </row>
    <row r="120" spans="1:15" ht="27.75" customHeight="1">
      <c r="A120" s="398" t="s">
        <v>384</v>
      </c>
      <c r="B120" s="242" t="s">
        <v>370</v>
      </c>
      <c r="C120" s="280" t="s">
        <v>239</v>
      </c>
      <c r="D120" s="345">
        <v>2013</v>
      </c>
      <c r="E120" s="455">
        <v>2015</v>
      </c>
      <c r="F120" s="345">
        <v>801</v>
      </c>
      <c r="G120" s="345">
        <v>80110</v>
      </c>
      <c r="H120" s="345">
        <v>4260</v>
      </c>
      <c r="I120" s="38">
        <f t="shared" si="15"/>
        <v>560000</v>
      </c>
      <c r="J120" s="38">
        <v>180000</v>
      </c>
      <c r="K120" s="38">
        <v>190000</v>
      </c>
      <c r="L120" s="38">
        <v>190000</v>
      </c>
      <c r="M120" s="38"/>
      <c r="N120" s="563"/>
      <c r="O120" s="366">
        <f t="shared" si="16"/>
        <v>560000</v>
      </c>
    </row>
    <row r="121" spans="1:15" ht="27.75" customHeight="1">
      <c r="A121" s="398" t="s">
        <v>283</v>
      </c>
      <c r="B121" s="338" t="s">
        <v>376</v>
      </c>
      <c r="C121" s="343" t="s">
        <v>239</v>
      </c>
      <c r="D121" s="344">
        <v>2013</v>
      </c>
      <c r="E121" s="345">
        <v>2016</v>
      </c>
      <c r="F121" s="344">
        <v>801</v>
      </c>
      <c r="G121" s="344">
        <v>80114</v>
      </c>
      <c r="H121" s="344">
        <v>4300</v>
      </c>
      <c r="I121" s="38">
        <f t="shared" si="15"/>
        <v>40000</v>
      </c>
      <c r="J121" s="339">
        <v>10000</v>
      </c>
      <c r="K121" s="339">
        <v>10000</v>
      </c>
      <c r="L121" s="339">
        <v>10000</v>
      </c>
      <c r="M121" s="339">
        <v>10000</v>
      </c>
      <c r="N121" s="565"/>
      <c r="O121" s="466">
        <f t="shared" si="16"/>
        <v>40000</v>
      </c>
    </row>
    <row r="122" spans="1:15" ht="25.5" customHeight="1">
      <c r="A122" s="398" t="s">
        <v>284</v>
      </c>
      <c r="B122" s="242" t="s">
        <v>371</v>
      </c>
      <c r="C122" s="280" t="s">
        <v>239</v>
      </c>
      <c r="D122" s="345">
        <v>2013</v>
      </c>
      <c r="E122" s="455">
        <v>2015</v>
      </c>
      <c r="F122" s="345">
        <v>801</v>
      </c>
      <c r="G122" s="345">
        <v>80114</v>
      </c>
      <c r="H122" s="345">
        <v>4360</v>
      </c>
      <c r="I122" s="38">
        <f t="shared" si="15"/>
        <v>18000</v>
      </c>
      <c r="J122" s="271">
        <v>6000</v>
      </c>
      <c r="K122" s="271">
        <v>6000</v>
      </c>
      <c r="L122" s="271">
        <v>6000</v>
      </c>
      <c r="M122" s="38"/>
      <c r="N122" s="563"/>
      <c r="O122" s="366">
        <f t="shared" si="16"/>
        <v>18000</v>
      </c>
    </row>
    <row r="123" spans="1:15" ht="27" customHeight="1">
      <c r="A123" s="398" t="s">
        <v>285</v>
      </c>
      <c r="B123" s="242" t="s">
        <v>372</v>
      </c>
      <c r="C123" s="280" t="s">
        <v>239</v>
      </c>
      <c r="D123" s="345">
        <v>2013</v>
      </c>
      <c r="E123" s="345">
        <v>2014</v>
      </c>
      <c r="F123" s="345">
        <v>801</v>
      </c>
      <c r="G123" s="345">
        <v>80148</v>
      </c>
      <c r="H123" s="345">
        <v>4260</v>
      </c>
      <c r="I123" s="38">
        <f t="shared" si="15"/>
        <v>48000</v>
      </c>
      <c r="J123" s="38">
        <v>22000</v>
      </c>
      <c r="K123" s="38">
        <v>26000</v>
      </c>
      <c r="L123" s="38"/>
      <c r="M123" s="38"/>
      <c r="N123" s="563"/>
      <c r="O123" s="366">
        <f t="shared" si="16"/>
        <v>48000</v>
      </c>
    </row>
    <row r="124" spans="1:18" ht="54.75" customHeight="1">
      <c r="A124" s="398" t="s">
        <v>286</v>
      </c>
      <c r="B124" s="242" t="s">
        <v>350</v>
      </c>
      <c r="C124" s="280" t="s">
        <v>239</v>
      </c>
      <c r="D124" s="345">
        <v>2013</v>
      </c>
      <c r="E124" s="455">
        <v>2015</v>
      </c>
      <c r="F124" s="345">
        <v>801</v>
      </c>
      <c r="G124" s="345">
        <v>80113</v>
      </c>
      <c r="H124" s="345">
        <v>4300</v>
      </c>
      <c r="I124" s="38">
        <f t="shared" si="15"/>
        <v>774807</v>
      </c>
      <c r="J124" s="271">
        <v>174807</v>
      </c>
      <c r="K124" s="271">
        <v>300000</v>
      </c>
      <c r="L124" s="271">
        <v>300000</v>
      </c>
      <c r="M124" s="38"/>
      <c r="N124" s="563"/>
      <c r="O124" s="366">
        <f t="shared" si="16"/>
        <v>774807</v>
      </c>
      <c r="P124" s="402"/>
      <c r="Q124" s="38"/>
      <c r="R124" s="133">
        <f>SUM(K124:P124)</f>
        <v>1374807</v>
      </c>
    </row>
    <row r="125" spans="1:18" ht="33.75" customHeight="1">
      <c r="A125" s="398" t="s">
        <v>287</v>
      </c>
      <c r="B125" s="399" t="s">
        <v>351</v>
      </c>
      <c r="C125" s="373" t="s">
        <v>239</v>
      </c>
      <c r="D125" s="400">
        <v>2013</v>
      </c>
      <c r="E125" s="400">
        <v>2015</v>
      </c>
      <c r="F125" s="400">
        <v>801</v>
      </c>
      <c r="G125" s="400">
        <v>80113</v>
      </c>
      <c r="H125" s="400">
        <v>4300</v>
      </c>
      <c r="I125" s="401">
        <f t="shared" si="15"/>
        <v>1688909</v>
      </c>
      <c r="J125" s="502">
        <v>488909</v>
      </c>
      <c r="K125" s="579">
        <v>600000</v>
      </c>
      <c r="L125" s="401">
        <v>600000</v>
      </c>
      <c r="M125" s="401"/>
      <c r="N125" s="568"/>
      <c r="O125" s="391">
        <f t="shared" si="16"/>
        <v>1688909</v>
      </c>
      <c r="P125" s="402"/>
      <c r="Q125" s="38"/>
      <c r="R125" s="133">
        <f>SUM(K125:P125)</f>
        <v>2888909</v>
      </c>
    </row>
    <row r="126" spans="1:18" ht="26.25" customHeight="1">
      <c r="A126" s="755" t="s">
        <v>289</v>
      </c>
      <c r="B126" s="765" t="s">
        <v>325</v>
      </c>
      <c r="C126" s="694" t="s">
        <v>293</v>
      </c>
      <c r="D126" s="740">
        <v>2013</v>
      </c>
      <c r="E126" s="740">
        <v>2014</v>
      </c>
      <c r="F126" s="740">
        <v>853</v>
      </c>
      <c r="G126" s="740">
        <v>85395</v>
      </c>
      <c r="H126" s="575" t="s">
        <v>166</v>
      </c>
      <c r="I126" s="576">
        <f>SUM(I127:I139)</f>
        <v>266000</v>
      </c>
      <c r="J126" s="576">
        <f>SUM(J127:J139)</f>
        <v>166000</v>
      </c>
      <c r="K126" s="576">
        <f>SUM(K127:K139)</f>
        <v>100000</v>
      </c>
      <c r="L126" s="576"/>
      <c r="M126" s="576"/>
      <c r="N126" s="577"/>
      <c r="O126" s="578">
        <f>SUM(O127:O139)</f>
        <v>266000</v>
      </c>
      <c r="P126" s="274" t="e">
        <f>#REF!+J126+K126</f>
        <v>#REF!</v>
      </c>
      <c r="Q126" s="274"/>
      <c r="R126" s="245"/>
    </row>
    <row r="127" spans="1:18" ht="24" customHeight="1">
      <c r="A127" s="705"/>
      <c r="B127" s="695"/>
      <c r="C127" s="695"/>
      <c r="D127" s="695"/>
      <c r="E127" s="695"/>
      <c r="F127" s="695"/>
      <c r="G127" s="695"/>
      <c r="H127" s="345">
        <v>3119</v>
      </c>
      <c r="I127" s="38">
        <f aca="true" t="shared" si="17" ref="I127:I133">O127</f>
        <v>27930</v>
      </c>
      <c r="J127" s="275">
        <v>17430</v>
      </c>
      <c r="K127" s="271">
        <v>10500</v>
      </c>
      <c r="L127" s="271"/>
      <c r="M127" s="38"/>
      <c r="N127" s="563"/>
      <c r="O127" s="366">
        <f aca="true" t="shared" si="18" ref="O127:O139">SUM(J127:M127)</f>
        <v>27930</v>
      </c>
      <c r="P127" s="274" t="e">
        <f>#REF!+#REF!+#REF!+#REF!+#REF!+#REF!</f>
        <v>#REF!</v>
      </c>
      <c r="Q127" s="274">
        <f>J128+J130+J132+J134+J136+J138</f>
        <v>141100</v>
      </c>
      <c r="R127" s="274">
        <f>K128+K130+K132+K134+K136+K138</f>
        <v>85000</v>
      </c>
    </row>
    <row r="128" spans="1:18" ht="20.25" customHeight="1">
      <c r="A128" s="705"/>
      <c r="B128" s="695"/>
      <c r="C128" s="695"/>
      <c r="D128" s="695"/>
      <c r="E128" s="695"/>
      <c r="F128" s="695"/>
      <c r="G128" s="695"/>
      <c r="H128" s="345">
        <v>4017</v>
      </c>
      <c r="I128" s="38">
        <f>O128</f>
        <v>90528</v>
      </c>
      <c r="J128" s="275">
        <v>57055</v>
      </c>
      <c r="K128" s="271">
        <v>33473</v>
      </c>
      <c r="L128" s="271"/>
      <c r="M128" s="38"/>
      <c r="N128" s="563"/>
      <c r="O128" s="366">
        <f t="shared" si="18"/>
        <v>90528</v>
      </c>
      <c r="P128" s="274" t="e">
        <f>#REF!+#REF!+#REF!+#REF!+#REF!+#REF!+#REF!</f>
        <v>#REF!</v>
      </c>
      <c r="Q128" s="274">
        <f>J127+J129+J131+J133+J135+J137+J139</f>
        <v>24900</v>
      </c>
      <c r="R128" s="274">
        <f>K127+K129+K131+K133+K135+K137+K139</f>
        <v>15000</v>
      </c>
    </row>
    <row r="129" spans="1:18" ht="20.25" customHeight="1">
      <c r="A129" s="705"/>
      <c r="B129" s="695"/>
      <c r="C129" s="695"/>
      <c r="D129" s="695"/>
      <c r="E129" s="695"/>
      <c r="F129" s="695"/>
      <c r="G129" s="695"/>
      <c r="H129" s="345">
        <v>4019</v>
      </c>
      <c r="I129" s="38">
        <f>O129</f>
        <v>4794</v>
      </c>
      <c r="J129" s="275">
        <v>3021</v>
      </c>
      <c r="K129" s="271">
        <v>1773</v>
      </c>
      <c r="L129" s="271"/>
      <c r="M129" s="38"/>
      <c r="N129" s="563"/>
      <c r="O129" s="366">
        <f t="shared" si="18"/>
        <v>4794</v>
      </c>
      <c r="P129" s="274"/>
      <c r="Q129" s="274"/>
      <c r="R129" s="245"/>
    </row>
    <row r="130" spans="1:18" ht="20.25" customHeight="1">
      <c r="A130" s="705"/>
      <c r="B130" s="695"/>
      <c r="C130" s="695"/>
      <c r="D130" s="695"/>
      <c r="E130" s="695"/>
      <c r="F130" s="695"/>
      <c r="G130" s="695"/>
      <c r="H130" s="345">
        <v>4117</v>
      </c>
      <c r="I130" s="38">
        <f>O130</f>
        <v>15479</v>
      </c>
      <c r="J130" s="275">
        <v>9755</v>
      </c>
      <c r="K130" s="271">
        <v>5724</v>
      </c>
      <c r="L130" s="271"/>
      <c r="M130" s="38"/>
      <c r="N130" s="563"/>
      <c r="O130" s="366">
        <f t="shared" si="18"/>
        <v>15479</v>
      </c>
      <c r="P130" s="274"/>
      <c r="Q130" s="274"/>
      <c r="R130" s="245"/>
    </row>
    <row r="131" spans="1:18" ht="24" customHeight="1">
      <c r="A131" s="705"/>
      <c r="B131" s="695"/>
      <c r="C131" s="695"/>
      <c r="D131" s="695"/>
      <c r="E131" s="695"/>
      <c r="F131" s="695"/>
      <c r="G131" s="695"/>
      <c r="H131" s="345">
        <v>4119</v>
      </c>
      <c r="I131" s="38">
        <f t="shared" si="17"/>
        <v>819</v>
      </c>
      <c r="J131" s="275">
        <v>516</v>
      </c>
      <c r="K131" s="271">
        <v>303</v>
      </c>
      <c r="L131" s="271"/>
      <c r="M131" s="38"/>
      <c r="N131" s="563"/>
      <c r="O131" s="366">
        <f t="shared" si="18"/>
        <v>819</v>
      </c>
      <c r="P131" s="274"/>
      <c r="Q131" s="274"/>
      <c r="R131" s="245"/>
    </row>
    <row r="132" spans="1:18" ht="20.25" customHeight="1">
      <c r="A132" s="705"/>
      <c r="B132" s="695"/>
      <c r="C132" s="695"/>
      <c r="D132" s="695"/>
      <c r="E132" s="695"/>
      <c r="F132" s="695"/>
      <c r="G132" s="695"/>
      <c r="H132" s="345">
        <v>4127</v>
      </c>
      <c r="I132" s="38">
        <f t="shared" si="17"/>
        <v>2218</v>
      </c>
      <c r="J132" s="275">
        <v>1397</v>
      </c>
      <c r="K132" s="271">
        <v>821</v>
      </c>
      <c r="L132" s="271"/>
      <c r="M132" s="38"/>
      <c r="N132" s="563"/>
      <c r="O132" s="366">
        <f t="shared" si="18"/>
        <v>2218</v>
      </c>
      <c r="P132" s="274"/>
      <c r="Q132" s="274"/>
      <c r="R132" s="245"/>
    </row>
    <row r="133" spans="1:18" ht="23.25" customHeight="1">
      <c r="A133" s="705"/>
      <c r="B133" s="695"/>
      <c r="C133" s="695"/>
      <c r="D133" s="695"/>
      <c r="E133" s="695"/>
      <c r="F133" s="695"/>
      <c r="G133" s="695"/>
      <c r="H133" s="345">
        <v>4129</v>
      </c>
      <c r="I133" s="38">
        <f t="shared" si="17"/>
        <v>117</v>
      </c>
      <c r="J133" s="275">
        <v>74</v>
      </c>
      <c r="K133" s="271">
        <v>43</v>
      </c>
      <c r="L133" s="271"/>
      <c r="M133" s="38"/>
      <c r="N133" s="563"/>
      <c r="O133" s="366">
        <f t="shared" si="18"/>
        <v>117</v>
      </c>
      <c r="P133" s="274"/>
      <c r="Q133" s="274"/>
      <c r="R133" s="245"/>
    </row>
    <row r="134" spans="1:18" ht="23.25" customHeight="1">
      <c r="A134" s="705"/>
      <c r="B134" s="695"/>
      <c r="C134" s="695"/>
      <c r="D134" s="695"/>
      <c r="E134" s="695"/>
      <c r="F134" s="695"/>
      <c r="G134" s="695"/>
      <c r="H134" s="345">
        <v>4177</v>
      </c>
      <c r="I134" s="38">
        <f aca="true" t="shared" si="19" ref="I134:I139">O134</f>
        <v>9688</v>
      </c>
      <c r="J134" s="275">
        <v>8263</v>
      </c>
      <c r="K134" s="271">
        <v>1425</v>
      </c>
      <c r="L134" s="271"/>
      <c r="M134" s="38"/>
      <c r="N134" s="563"/>
      <c r="O134" s="366">
        <f t="shared" si="18"/>
        <v>9688</v>
      </c>
      <c r="P134" s="274"/>
      <c r="Q134" s="274"/>
      <c r="R134" s="245"/>
    </row>
    <row r="135" spans="1:18" ht="26.25" customHeight="1">
      <c r="A135" s="705"/>
      <c r="B135" s="695"/>
      <c r="C135" s="695"/>
      <c r="D135" s="695"/>
      <c r="E135" s="695"/>
      <c r="F135" s="695"/>
      <c r="G135" s="695"/>
      <c r="H135" s="345">
        <v>4179</v>
      </c>
      <c r="I135" s="38">
        <f t="shared" si="19"/>
        <v>512</v>
      </c>
      <c r="J135" s="275">
        <v>437</v>
      </c>
      <c r="K135" s="271">
        <v>75</v>
      </c>
      <c r="L135" s="271"/>
      <c r="M135" s="38"/>
      <c r="N135" s="563"/>
      <c r="O135" s="366">
        <f t="shared" si="18"/>
        <v>512</v>
      </c>
      <c r="P135" s="274"/>
      <c r="Q135" s="274"/>
      <c r="R135" s="245"/>
    </row>
    <row r="136" spans="1:18" ht="24" customHeight="1">
      <c r="A136" s="705"/>
      <c r="B136" s="695"/>
      <c r="C136" s="695"/>
      <c r="D136" s="695"/>
      <c r="E136" s="695"/>
      <c r="F136" s="695"/>
      <c r="G136" s="695"/>
      <c r="H136" s="345">
        <v>4217</v>
      </c>
      <c r="I136" s="38">
        <f t="shared" si="19"/>
        <v>1514</v>
      </c>
      <c r="J136" s="275">
        <v>1514</v>
      </c>
      <c r="K136" s="271"/>
      <c r="L136" s="271"/>
      <c r="M136" s="38"/>
      <c r="N136" s="563"/>
      <c r="O136" s="366">
        <f t="shared" si="18"/>
        <v>1514</v>
      </c>
      <c r="P136" s="274"/>
      <c r="Q136" s="274"/>
      <c r="R136" s="245"/>
    </row>
    <row r="137" spans="1:18" ht="23.25" customHeight="1">
      <c r="A137" s="705"/>
      <c r="B137" s="695"/>
      <c r="C137" s="695"/>
      <c r="D137" s="695"/>
      <c r="E137" s="695"/>
      <c r="F137" s="695"/>
      <c r="G137" s="695"/>
      <c r="H137" s="345">
        <v>4219</v>
      </c>
      <c r="I137" s="38">
        <f t="shared" si="19"/>
        <v>80</v>
      </c>
      <c r="J137" s="275">
        <v>80</v>
      </c>
      <c r="K137" s="271"/>
      <c r="L137" s="271"/>
      <c r="M137" s="38"/>
      <c r="N137" s="563"/>
      <c r="O137" s="366">
        <f t="shared" si="18"/>
        <v>80</v>
      </c>
      <c r="P137" s="274"/>
      <c r="Q137" s="274"/>
      <c r="R137" s="245"/>
    </row>
    <row r="138" spans="1:18" ht="27" customHeight="1">
      <c r="A138" s="705"/>
      <c r="B138" s="695"/>
      <c r="C138" s="695"/>
      <c r="D138" s="695"/>
      <c r="E138" s="695"/>
      <c r="F138" s="695"/>
      <c r="G138" s="695"/>
      <c r="H138" s="345">
        <v>4307</v>
      </c>
      <c r="I138" s="38">
        <f t="shared" si="19"/>
        <v>106673</v>
      </c>
      <c r="J138" s="275">
        <v>63116</v>
      </c>
      <c r="K138" s="271">
        <v>43557</v>
      </c>
      <c r="L138" s="271"/>
      <c r="M138" s="38"/>
      <c r="N138" s="563"/>
      <c r="O138" s="366">
        <f t="shared" si="18"/>
        <v>106673</v>
      </c>
      <c r="P138" s="274"/>
      <c r="Q138" s="274"/>
      <c r="R138" s="245"/>
    </row>
    <row r="139" spans="1:18" ht="30" customHeight="1">
      <c r="A139" s="756"/>
      <c r="B139" s="741"/>
      <c r="C139" s="741"/>
      <c r="D139" s="741"/>
      <c r="E139" s="741"/>
      <c r="F139" s="741"/>
      <c r="G139" s="741"/>
      <c r="H139" s="345">
        <v>4309</v>
      </c>
      <c r="I139" s="38">
        <f t="shared" si="19"/>
        <v>5648</v>
      </c>
      <c r="J139" s="275">
        <v>3342</v>
      </c>
      <c r="K139" s="271">
        <v>2306</v>
      </c>
      <c r="L139" s="271"/>
      <c r="M139" s="38"/>
      <c r="N139" s="563"/>
      <c r="O139" s="366">
        <f t="shared" si="18"/>
        <v>5648</v>
      </c>
      <c r="P139" s="274"/>
      <c r="Q139" s="274"/>
      <c r="R139" s="245"/>
    </row>
    <row r="140" spans="1:18" ht="27" customHeight="1">
      <c r="A140" s="760">
        <v>41</v>
      </c>
      <c r="B140" s="757" t="s">
        <v>327</v>
      </c>
      <c r="C140" s="762" t="s">
        <v>239</v>
      </c>
      <c r="D140" s="757">
        <v>2013</v>
      </c>
      <c r="E140" s="757">
        <v>2014</v>
      </c>
      <c r="F140" s="757">
        <v>854</v>
      </c>
      <c r="G140" s="757">
        <v>85401</v>
      </c>
      <c r="H140" s="147" t="s">
        <v>166</v>
      </c>
      <c r="I140" s="335">
        <f>O140</f>
        <v>162000</v>
      </c>
      <c r="J140" s="335">
        <f>SUM(J141:J143)</f>
        <v>108000</v>
      </c>
      <c r="K140" s="335">
        <f>SUM(K141:K143)</f>
        <v>54000</v>
      </c>
      <c r="L140" s="335"/>
      <c r="M140" s="335"/>
      <c r="N140" s="567"/>
      <c r="O140" s="415">
        <f>SUM(O141:O143)</f>
        <v>162000</v>
      </c>
      <c r="P140" s="274" t="e">
        <f>#REF!+J140+K140</f>
        <v>#REF!</v>
      </c>
      <c r="Q140" s="274"/>
      <c r="R140" s="245"/>
    </row>
    <row r="141" spans="1:18" ht="24.75" customHeight="1">
      <c r="A141" s="755"/>
      <c r="B141" s="758"/>
      <c r="C141" s="763"/>
      <c r="D141" s="758"/>
      <c r="E141" s="758"/>
      <c r="F141" s="758"/>
      <c r="G141" s="758"/>
      <c r="H141" s="345">
        <v>4010</v>
      </c>
      <c r="I141" s="38">
        <f>O141</f>
        <v>135540</v>
      </c>
      <c r="J141" s="275">
        <v>90360</v>
      </c>
      <c r="K141" s="271">
        <v>45180</v>
      </c>
      <c r="L141" s="271"/>
      <c r="M141" s="38"/>
      <c r="N141" s="563"/>
      <c r="O141" s="366">
        <f>J141+K141</f>
        <v>135540</v>
      </c>
      <c r="P141" s="274"/>
      <c r="Q141" s="274"/>
      <c r="R141" s="245"/>
    </row>
    <row r="142" spans="1:18" ht="24" customHeight="1">
      <c r="A142" s="755"/>
      <c r="B142" s="758"/>
      <c r="C142" s="763"/>
      <c r="D142" s="758"/>
      <c r="E142" s="758"/>
      <c r="F142" s="758"/>
      <c r="G142" s="758"/>
      <c r="H142" s="345">
        <v>4110</v>
      </c>
      <c r="I142" s="38">
        <f aca="true" t="shared" si="20" ref="I142:I148">O142</f>
        <v>23220</v>
      </c>
      <c r="J142" s="275">
        <v>15480</v>
      </c>
      <c r="K142" s="271">
        <v>7740</v>
      </c>
      <c r="L142" s="271"/>
      <c r="M142" s="38"/>
      <c r="N142" s="563"/>
      <c r="O142" s="366">
        <f>J142+K142</f>
        <v>23220</v>
      </c>
      <c r="P142" s="274"/>
      <c r="Q142" s="274"/>
      <c r="R142" s="245"/>
    </row>
    <row r="143" spans="1:18" ht="24" customHeight="1">
      <c r="A143" s="761"/>
      <c r="B143" s="759"/>
      <c r="C143" s="764"/>
      <c r="D143" s="759"/>
      <c r="E143" s="759"/>
      <c r="F143" s="759"/>
      <c r="G143" s="759"/>
      <c r="H143" s="345">
        <v>4120</v>
      </c>
      <c r="I143" s="38">
        <f t="shared" si="20"/>
        <v>3240</v>
      </c>
      <c r="J143" s="275">
        <v>2160</v>
      </c>
      <c r="K143" s="271">
        <v>1080</v>
      </c>
      <c r="L143" s="271"/>
      <c r="M143" s="38"/>
      <c r="N143" s="563"/>
      <c r="O143" s="366">
        <f>J143+K143</f>
        <v>3240</v>
      </c>
      <c r="P143" s="274"/>
      <c r="Q143" s="274"/>
      <c r="R143" s="245"/>
    </row>
    <row r="144" spans="1:18" ht="30" customHeight="1">
      <c r="A144" s="398">
        <v>42</v>
      </c>
      <c r="B144" s="242" t="s">
        <v>373</v>
      </c>
      <c r="C144" s="280" t="s">
        <v>239</v>
      </c>
      <c r="D144" s="345">
        <v>2013</v>
      </c>
      <c r="E144" s="345">
        <v>2015</v>
      </c>
      <c r="F144" s="345">
        <v>854</v>
      </c>
      <c r="G144" s="345">
        <v>85401</v>
      </c>
      <c r="H144" s="345">
        <v>4360</v>
      </c>
      <c r="I144" s="38">
        <f t="shared" si="20"/>
        <v>4500</v>
      </c>
      <c r="J144" s="275">
        <v>1500</v>
      </c>
      <c r="K144" s="271">
        <v>1500</v>
      </c>
      <c r="L144" s="271">
        <v>1500</v>
      </c>
      <c r="M144" s="38"/>
      <c r="N144" s="563"/>
      <c r="O144" s="366">
        <f aca="true" t="shared" si="21" ref="O144:O151">SUM(J144:M144)</f>
        <v>4500</v>
      </c>
      <c r="P144" s="274"/>
      <c r="Q144" s="274"/>
      <c r="R144" s="245"/>
    </row>
    <row r="145" spans="1:15" ht="26.25" customHeight="1">
      <c r="A145" s="398">
        <v>43</v>
      </c>
      <c r="B145" s="242" t="s">
        <v>374</v>
      </c>
      <c r="C145" s="280" t="s">
        <v>246</v>
      </c>
      <c r="D145" s="345">
        <v>2013</v>
      </c>
      <c r="E145" s="345">
        <v>2014</v>
      </c>
      <c r="F145" s="345">
        <v>900</v>
      </c>
      <c r="G145" s="345">
        <v>90002</v>
      </c>
      <c r="H145" s="345">
        <v>4300</v>
      </c>
      <c r="I145" s="38">
        <f t="shared" si="20"/>
        <v>370000</v>
      </c>
      <c r="J145" s="38">
        <v>180000</v>
      </c>
      <c r="K145" s="38">
        <v>190000</v>
      </c>
      <c r="L145" s="38"/>
      <c r="M145" s="38"/>
      <c r="N145" s="563"/>
      <c r="O145" s="366">
        <f t="shared" si="21"/>
        <v>370000</v>
      </c>
    </row>
    <row r="146" spans="1:15" ht="26.25" customHeight="1">
      <c r="A146" s="398">
        <v>44</v>
      </c>
      <c r="B146" s="242" t="s">
        <v>336</v>
      </c>
      <c r="C146" s="280" t="s">
        <v>246</v>
      </c>
      <c r="D146" s="345">
        <v>2013</v>
      </c>
      <c r="E146" s="345">
        <v>2015</v>
      </c>
      <c r="F146" s="345">
        <v>900</v>
      </c>
      <c r="G146" s="345">
        <v>90002</v>
      </c>
      <c r="H146" s="345">
        <v>4300</v>
      </c>
      <c r="I146" s="38">
        <f t="shared" si="20"/>
        <v>11000000</v>
      </c>
      <c r="J146" s="38">
        <v>3000000</v>
      </c>
      <c r="K146" s="38">
        <v>4000000</v>
      </c>
      <c r="L146" s="38">
        <v>4000000</v>
      </c>
      <c r="M146" s="38"/>
      <c r="N146" s="563"/>
      <c r="O146" s="366">
        <f t="shared" si="21"/>
        <v>11000000</v>
      </c>
    </row>
    <row r="147" spans="1:15" ht="24.75" customHeight="1">
      <c r="A147" s="398">
        <v>45</v>
      </c>
      <c r="B147" s="242" t="s">
        <v>235</v>
      </c>
      <c r="C147" s="280" t="s">
        <v>175</v>
      </c>
      <c r="D147" s="345">
        <v>2013</v>
      </c>
      <c r="E147" s="345">
        <v>2014</v>
      </c>
      <c r="F147" s="345">
        <v>900</v>
      </c>
      <c r="G147" s="345">
        <v>90003</v>
      </c>
      <c r="H147" s="345">
        <v>4300</v>
      </c>
      <c r="I147" s="38">
        <f t="shared" si="20"/>
        <v>1000000</v>
      </c>
      <c r="J147" s="38">
        <v>500000</v>
      </c>
      <c r="K147" s="38">
        <v>500000</v>
      </c>
      <c r="L147" s="38"/>
      <c r="M147" s="38"/>
      <c r="N147" s="563"/>
      <c r="O147" s="366">
        <f t="shared" si="21"/>
        <v>1000000</v>
      </c>
    </row>
    <row r="148" spans="1:15" ht="26.25" customHeight="1">
      <c r="A148" s="398">
        <v>46</v>
      </c>
      <c r="B148" s="242" t="s">
        <v>253</v>
      </c>
      <c r="C148" s="280" t="s">
        <v>175</v>
      </c>
      <c r="D148" s="345">
        <v>2013</v>
      </c>
      <c r="E148" s="345">
        <v>2014</v>
      </c>
      <c r="F148" s="345">
        <v>900</v>
      </c>
      <c r="G148" s="345">
        <v>90015</v>
      </c>
      <c r="H148" s="345">
        <v>4260</v>
      </c>
      <c r="I148" s="38">
        <f t="shared" si="20"/>
        <v>2050000</v>
      </c>
      <c r="J148" s="38">
        <v>1000000</v>
      </c>
      <c r="K148" s="38">
        <v>1050000</v>
      </c>
      <c r="L148" s="38"/>
      <c r="M148" s="38"/>
      <c r="N148" s="563"/>
      <c r="O148" s="366">
        <f t="shared" si="21"/>
        <v>2050000</v>
      </c>
    </row>
    <row r="149" spans="1:15" ht="26.25" customHeight="1">
      <c r="A149" s="398">
        <v>47</v>
      </c>
      <c r="B149" s="399" t="s">
        <v>236</v>
      </c>
      <c r="C149" s="373" t="s">
        <v>175</v>
      </c>
      <c r="D149" s="345">
        <v>2013</v>
      </c>
      <c r="E149" s="400">
        <v>2014</v>
      </c>
      <c r="F149" s="400">
        <v>900</v>
      </c>
      <c r="G149" s="400">
        <v>90015</v>
      </c>
      <c r="H149" s="400">
        <v>4270</v>
      </c>
      <c r="I149" s="38">
        <f>O149</f>
        <v>540000</v>
      </c>
      <c r="J149" s="401">
        <v>270000</v>
      </c>
      <c r="K149" s="401">
        <v>270000</v>
      </c>
      <c r="L149" s="401"/>
      <c r="M149" s="401"/>
      <c r="N149" s="568"/>
      <c r="O149" s="391">
        <f t="shared" si="21"/>
        <v>540000</v>
      </c>
    </row>
    <row r="150" spans="1:15" ht="26.25" customHeight="1">
      <c r="A150" s="398">
        <v>48</v>
      </c>
      <c r="B150" s="405" t="s">
        <v>368</v>
      </c>
      <c r="C150" s="500" t="s">
        <v>369</v>
      </c>
      <c r="D150" s="501">
        <v>2013</v>
      </c>
      <c r="E150" s="501">
        <v>2015</v>
      </c>
      <c r="F150" s="400">
        <v>900</v>
      </c>
      <c r="G150" s="400">
        <v>90095</v>
      </c>
      <c r="H150" s="400">
        <v>4300</v>
      </c>
      <c r="I150" s="38">
        <f>O150</f>
        <v>750000</v>
      </c>
      <c r="J150" s="401">
        <v>250000</v>
      </c>
      <c r="K150" s="401">
        <v>250000</v>
      </c>
      <c r="L150" s="401">
        <v>250000</v>
      </c>
      <c r="M150" s="401"/>
      <c r="N150" s="568"/>
      <c r="O150" s="391">
        <f t="shared" si="21"/>
        <v>750000</v>
      </c>
    </row>
    <row r="151" spans="1:15" ht="28.5" customHeight="1">
      <c r="A151" s="398">
        <v>49</v>
      </c>
      <c r="B151" s="399" t="s">
        <v>292</v>
      </c>
      <c r="C151" s="373" t="s">
        <v>239</v>
      </c>
      <c r="D151" s="400">
        <v>2013</v>
      </c>
      <c r="E151" s="400">
        <v>2015</v>
      </c>
      <c r="F151" s="400">
        <v>926</v>
      </c>
      <c r="G151" s="400">
        <v>92605</v>
      </c>
      <c r="H151" s="400">
        <v>4300</v>
      </c>
      <c r="I151" s="401">
        <f>O151</f>
        <v>45000</v>
      </c>
      <c r="J151" s="502">
        <v>15000</v>
      </c>
      <c r="K151" s="502">
        <v>15000</v>
      </c>
      <c r="L151" s="502">
        <v>15000</v>
      </c>
      <c r="M151" s="401"/>
      <c r="N151" s="568"/>
      <c r="O151" s="391">
        <f t="shared" si="21"/>
        <v>45000</v>
      </c>
    </row>
    <row r="152" spans="1:3" ht="15">
      <c r="A152" s="28"/>
      <c r="B152" s="34"/>
      <c r="C152" s="35"/>
    </row>
    <row r="153" spans="1:3" ht="15">
      <c r="A153" s="28"/>
      <c r="B153" s="36"/>
      <c r="C153" s="35"/>
    </row>
    <row r="154" spans="1:3" ht="15">
      <c r="A154" s="37"/>
      <c r="B154" s="36"/>
      <c r="C154" s="35"/>
    </row>
    <row r="155" spans="1:3" ht="12.75">
      <c r="A155" s="28"/>
      <c r="B155" s="28"/>
      <c r="C155" s="35"/>
    </row>
  </sheetData>
  <sheetProtection/>
  <mergeCells count="56">
    <mergeCell ref="A126:A139"/>
    <mergeCell ref="G140:G143"/>
    <mergeCell ref="A140:A143"/>
    <mergeCell ref="B140:B143"/>
    <mergeCell ref="C140:C143"/>
    <mergeCell ref="D140:D143"/>
    <mergeCell ref="E140:E143"/>
    <mergeCell ref="F140:F143"/>
    <mergeCell ref="B126:B139"/>
    <mergeCell ref="C126:C139"/>
    <mergeCell ref="O9:O12"/>
    <mergeCell ref="G78:G79"/>
    <mergeCell ref="F31:H31"/>
    <mergeCell ref="B25:B26"/>
    <mergeCell ref="F25:H25"/>
    <mergeCell ref="F77:H77"/>
    <mergeCell ref="F78:F79"/>
    <mergeCell ref="B21:B22"/>
    <mergeCell ref="L10:L12"/>
    <mergeCell ref="D77:D79"/>
    <mergeCell ref="D126:D139"/>
    <mergeCell ref="E126:E139"/>
    <mergeCell ref="F126:F139"/>
    <mergeCell ref="G126:G139"/>
    <mergeCell ref="D11:D12"/>
    <mergeCell ref="F39:H39"/>
    <mergeCell ref="F20:H20"/>
    <mergeCell ref="F21:H21"/>
    <mergeCell ref="E77:E79"/>
    <mergeCell ref="A9:A12"/>
    <mergeCell ref="E11:E12"/>
    <mergeCell ref="G11:G12"/>
    <mergeCell ref="H11:H12"/>
    <mergeCell ref="I9:I12"/>
    <mergeCell ref="B9:B12"/>
    <mergeCell ref="C9:C12"/>
    <mergeCell ref="A77:A79"/>
    <mergeCell ref="F80:H80"/>
    <mergeCell ref="A80:A83"/>
    <mergeCell ref="B80:B83"/>
    <mergeCell ref="A7:O8"/>
    <mergeCell ref="D9:E10"/>
    <mergeCell ref="F9:H10"/>
    <mergeCell ref="J10:J12"/>
    <mergeCell ref="B77:B79"/>
    <mergeCell ref="K10:K12"/>
    <mergeCell ref="J9:N9"/>
    <mergeCell ref="N10:N12"/>
    <mergeCell ref="C77:C79"/>
    <mergeCell ref="F81:F83"/>
    <mergeCell ref="G81:G83"/>
    <mergeCell ref="C80:C83"/>
    <mergeCell ref="D80:D83"/>
    <mergeCell ref="E80:E83"/>
    <mergeCell ref="F11:F12"/>
    <mergeCell ref="M10:M12"/>
  </mergeCells>
  <printOptions horizontalCentered="1"/>
  <pageMargins left="0.3937007874015748" right="0.1968503937007874" top="0.2755905511811024" bottom="0.43307086614173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2012-12-27T07:40:58Z</cp:lastPrinted>
  <dcterms:created xsi:type="dcterms:W3CDTF">2011-02-22T14:35:52Z</dcterms:created>
  <dcterms:modified xsi:type="dcterms:W3CDTF">2012-12-27T07:52:28Z</dcterms:modified>
  <cp:category/>
  <cp:version/>
  <cp:contentType/>
  <cp:contentStatus/>
</cp:coreProperties>
</file>