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firstSheet="1" activeTab="6"/>
  </bookViews>
  <sheets>
    <sheet name="Kredyt " sheetId="1" r:id="rId1"/>
    <sheet name="spł poż" sheetId="2" r:id="rId2"/>
    <sheet name="spł obligacji" sheetId="3" r:id="rId3"/>
    <sheet name="Arkusz5" sheetId="4" r:id="rId4"/>
    <sheet name="WPF" sheetId="5" r:id="rId5"/>
    <sheet name="Prognoza długu" sheetId="6" r:id="rId6"/>
    <sheet name="Wykaz przedsięwzięć" sheetId="7" r:id="rId7"/>
  </sheets>
  <externalReferences>
    <externalReference r:id="rId10"/>
  </externalReferences>
  <definedNames>
    <definedName name="_xlnm.Print_Titles" localSheetId="6">'Wykaz przedsięwzięć'!$9:$12</definedName>
  </definedNames>
  <calcPr fullCalcOnLoad="1"/>
</workbook>
</file>

<file path=xl/comments5.xml><?xml version="1.0" encoding="utf-8"?>
<comments xmlns="http://schemas.openxmlformats.org/spreadsheetml/2006/main">
  <authors>
    <author>UG</author>
  </authors>
  <commentList>
    <comment ref="B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<sst xmlns="http://schemas.openxmlformats.org/spreadsheetml/2006/main" count="901" uniqueCount="454">
  <si>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</si>
  <si>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</si>
  <si>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</si>
  <si>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</si>
  <si>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</si>
  <si>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</si>
  <si>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</si>
  <si>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</si>
  <si>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</si>
  <si>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</si>
  <si>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</si>
  <si>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</si>
  <si>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</si>
  <si>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</si>
  <si>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</si>
  <si>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</si>
  <si>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</si>
  <si>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</si>
  <si>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</si>
  <si>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</si>
  <si>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</si>
  <si>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</si>
  <si>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</si>
  <si>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</si>
  <si>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</si>
  <si>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</si>
  <si>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</si>
  <si>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</si>
  <si>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</si>
  <si>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</si>
  <si>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</si>
  <si>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</si>
  <si>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</si>
  <si>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</si>
  <si>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</si>
  <si>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</si>
  <si>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</si>
  <si>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</si>
  <si>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</si>
  <si>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</si>
  <si>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</si>
  <si>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</si>
  <si>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</si>
  <si>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</si>
  <si>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</si>
  <si>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</si>
  <si>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</si>
  <si>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</si>
  <si>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</si>
  <si>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</si>
  <si>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2011 - 2019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</si>
  <si>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</si>
  <si>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</si>
  <si>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</si>
  <si>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</si>
  <si>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</si>
  <si>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</si>
  <si>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</si>
  <si>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</si>
  <si>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</si>
  <si>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</si>
  <si>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</si>
  <si>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</si>
  <si>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</si>
  <si>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</si>
  <si>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</si>
  <si>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</si>
  <si>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</si>
  <si>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</si>
  <si>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</si>
  <si>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</si>
  <si>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</si>
  <si>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</si>
  <si>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</si>
  <si>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</si>
  <si>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</si>
  <si>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</si>
  <si>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</si>
  <si>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</si>
  <si>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</si>
  <si>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</si>
  <si>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</si>
  <si>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</si>
  <si>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</si>
  <si>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</si>
  <si>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</si>
  <si>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</si>
  <si>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</si>
  <si>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</si>
  <si>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</si>
  <si>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</si>
  <si>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</si>
  <si>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</si>
  <si>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</si>
  <si>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</si>
  <si>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</si>
  <si>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</si>
  <si>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</si>
  <si>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</si>
  <si>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</si>
  <si>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</si>
  <si>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</si>
  <si>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</si>
  <si>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</si>
  <si>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</si>
  <si>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</si>
  <si>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</si>
  <si>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</si>
  <si>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</si>
  <si>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</si>
  <si>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</si>
  <si>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</si>
  <si>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</si>
  <si>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</si>
  <si>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</si>
  <si>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</si>
  <si>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</si>
  <si>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</si>
  <si>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</si>
  <si>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</si>
  <si>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</si>
  <si>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</si>
  <si>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</si>
  <si>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</si>
  <si>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</si>
  <si>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</si>
  <si>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</si>
  <si>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</si>
  <si>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</si>
  <si>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</si>
  <si>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</si>
  <si>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</si>
  <si>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</si>
  <si>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</si>
  <si>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</si>
  <si>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</si>
  <si>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</si>
  <si>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</si>
  <si>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</si>
  <si>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</si>
  <si>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</si>
  <si>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</si>
  <si>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</si>
  <si>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</si>
  <si>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</si>
  <si>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</si>
  <si>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</si>
  <si>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</si>
  <si>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</si>
  <si>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</si>
  <si>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</si>
  <si>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</si>
  <si>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</si>
  <si>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</si>
  <si>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</si>
  <si>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</si>
  <si>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</si>
  <si>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</si>
  <si>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</si>
  <si>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</si>
  <si>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</si>
  <si>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</si>
  <si>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</si>
  <si>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</si>
  <si>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</si>
  <si>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</si>
  <si>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</si>
  <si>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</si>
  <si>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</si>
  <si>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</si>
  <si>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</si>
  <si>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</si>
  <si>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</si>
  <si>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</si>
  <si>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</si>
  <si>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>1.2.3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</si>
  <si>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</si>
  <si>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</si>
  <si>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</si>
  <si>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</si>
  <si>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</si>
  <si>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</si>
  <si>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</si>
  <si>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</si>
  <si>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</si>
  <si>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</si>
  <si>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</si>
  <si>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</si>
  <si>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</si>
  <si>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Mysiadło i Nowa Iwiczna - Budowa odwodnienia</t>
  </si>
  <si>
    <t>2.1.4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</si>
  <si>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</si>
  <si>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</si>
  <si>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</si>
  <si>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</si>
  <si>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</si>
  <si>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</si>
  <si>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</si>
  <si>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</si>
  <si>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</si>
  <si>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</si>
  <si>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</si>
  <si>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</si>
  <si>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</si>
  <si>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</si>
  <si>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</si>
  <si>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</si>
  <si>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</si>
  <si>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</si>
  <si>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</si>
  <si>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</si>
  <si>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</si>
  <si>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</si>
  <si>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</si>
  <si>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</si>
  <si>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</si>
  <si>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</si>
  <si>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</si>
  <si>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</si>
  <si>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</si>
  <si>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</si>
  <si>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</si>
  <si>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</si>
  <si>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 xml:space="preserve">okres realizacji       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</si>
  <si>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</si>
  <si>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</si>
  <si>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</si>
  <si>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</si>
  <si>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</si>
  <si>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</si>
  <si>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</si>
  <si>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</si>
  <si>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</si>
  <si>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2.1.6</t>
  </si>
  <si>
    <t>2.1.7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</si>
  <si>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</si>
  <si>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</si>
  <si>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</si>
  <si>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</si>
  <si>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2.1.5</t>
  </si>
  <si>
    <t>2.1.8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</si>
  <si>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</si>
  <si>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</si>
  <si>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</si>
  <si>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</si>
  <si>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t>1.1.7</t>
  </si>
  <si>
    <t>Odśnieżanie dróg gminnych</t>
  </si>
  <si>
    <t xml:space="preserve">Nowa Wola - Moderniz, remont  ul. Plonowej I etap </t>
  </si>
  <si>
    <t>Warszawianka - Budowa ciągu pieszo-jezdnego od ul. Rejonowej (vis a vis ul. Brzozowej) - ul. Sielankowa</t>
  </si>
  <si>
    <t>Zakup energii</t>
  </si>
  <si>
    <t>ZOPO</t>
  </si>
  <si>
    <t>16.</t>
  </si>
  <si>
    <t>17.</t>
  </si>
  <si>
    <t>18.</t>
  </si>
  <si>
    <t>19.</t>
  </si>
  <si>
    <t>20.</t>
  </si>
  <si>
    <t>UG-RDM</t>
  </si>
  <si>
    <t>UG - ROŚ</t>
  </si>
  <si>
    <t>Mysiadło- Projekt i przebudowa ul. Polnej wraz z odwodnieniem</t>
  </si>
  <si>
    <t>UG - RPI</t>
  </si>
  <si>
    <t>2.1.11</t>
  </si>
  <si>
    <t>2.1.12</t>
  </si>
  <si>
    <t>2.1.13</t>
  </si>
  <si>
    <t>2.1.14</t>
  </si>
  <si>
    <t>2.1.15</t>
  </si>
  <si>
    <t>2.1.16</t>
  </si>
  <si>
    <t>Zakup energii- oświetlenie ulic</t>
  </si>
  <si>
    <t>22.</t>
  </si>
  <si>
    <t>23.</t>
  </si>
  <si>
    <t xml:space="preserve">Magdalenka -Budowa ul. Okrężnej </t>
  </si>
  <si>
    <t>Magdalenka -Budowa ul. Modrzewiowej</t>
  </si>
  <si>
    <t>Magdalenka -Budowa ul. Jałowcowej</t>
  </si>
  <si>
    <t>24.</t>
  </si>
  <si>
    <t>Mysiadło -Budowa ul. Aronii i Porzeczkowej</t>
  </si>
  <si>
    <t xml:space="preserve">Plany przestrzennego zagospodarowania </t>
  </si>
  <si>
    <t>UG-RUiPP</t>
  </si>
  <si>
    <t>25.</t>
  </si>
  <si>
    <t xml:space="preserve">Świadczenie usług pocztowych przez Pocztę </t>
  </si>
  <si>
    <t>Magdalenka -Proj i budowa ciągu pieszo-rowerowego - III etap</t>
  </si>
  <si>
    <t>2.1.17</t>
  </si>
  <si>
    <t xml:space="preserve">Najem lakalu na potrzeby świetlicy Nowa Iwiczna </t>
  </si>
  <si>
    <t>Plan przed zmianami</t>
  </si>
  <si>
    <t>Zmiany Uchwałą Rady Gminy</t>
  </si>
  <si>
    <t>Plan po zmianach</t>
  </si>
  <si>
    <t>Limit wydatków w poszczególnych latach</t>
  </si>
  <si>
    <r>
      <t xml:space="preserve">Dzierżawa nieruchomości o nr. ew. 36/16   położonej w Nowej Iwicznej  </t>
    </r>
    <r>
      <rPr>
        <sz val="10"/>
        <rFont val="Cambria"/>
        <family val="1"/>
      </rPr>
      <t>- filia</t>
    </r>
  </si>
  <si>
    <t>Dzierżawa gruntu leśnego pod ścieżkę rowerową w Magdalence</t>
  </si>
  <si>
    <t>Udział w kosztach wspólnego biletu</t>
  </si>
  <si>
    <t>Przewóz osób - Linie autobusowe ZTM</t>
  </si>
  <si>
    <t>Monitoring świetlicy w Zgorzale</t>
  </si>
  <si>
    <t>Monitoring budynku Urzędu Gminy</t>
  </si>
  <si>
    <t>Monitoring budynków OSP</t>
  </si>
  <si>
    <t>Najem lakalu na potrzeby sołectwa Magdalenka</t>
  </si>
  <si>
    <t>Ubezpieczenie mienia</t>
  </si>
  <si>
    <t>UG-ZP</t>
  </si>
  <si>
    <t>Janczewice-Lesznowola - Projekt budowy ul. Żytniej wraz z kanalizacją deszczową</t>
  </si>
  <si>
    <t xml:space="preserve">Lesznowola - Projekt i budowa  ul. Okrężnej </t>
  </si>
  <si>
    <t>2.1.18</t>
  </si>
  <si>
    <t>2.1.19</t>
  </si>
  <si>
    <t xml:space="preserve">Świadczenie usług w zakresie drukowania materiałów informacyjno-promocyjnych na potrzeby Urzędu Gminy Lesznowola 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</si>
  <si>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</si>
  <si>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</si>
  <si>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</si>
  <si>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</si>
  <si>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</si>
  <si>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</si>
  <si>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</si>
  <si>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</si>
  <si>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</si>
  <si>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</si>
  <si>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</si>
  <si>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</si>
  <si>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</si>
  <si>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</si>
  <si>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Lesznowola - Projekt i  rozbudowa  ul. GRN  </t>
  </si>
  <si>
    <t>Ubezpieczenie samochodów- Urząd Gminy</t>
  </si>
  <si>
    <t>Ubezpieczenie samochodów OSP</t>
  </si>
  <si>
    <t>Ubezpieczenie NNW członków OSP</t>
  </si>
  <si>
    <t>Ubezpieczenie mienia - Szkoły</t>
  </si>
  <si>
    <t>Ubezpieczenie mienia - Przedszkola</t>
  </si>
  <si>
    <t>Ubezpieczenie mienia - ZOPO</t>
  </si>
  <si>
    <t>Ubezpieczenie mienia - GOPS</t>
  </si>
  <si>
    <t>40.</t>
  </si>
  <si>
    <t>41.</t>
  </si>
  <si>
    <t>42.</t>
  </si>
  <si>
    <t xml:space="preserve">Najem lokalu na potrzeby świetlicy Stara  Iwiczna </t>
  </si>
  <si>
    <t>Usługi telefonii komórkowej</t>
  </si>
  <si>
    <t>43.</t>
  </si>
  <si>
    <t>44.</t>
  </si>
  <si>
    <t>Monitorowanie sygnalizacji pożaru</t>
  </si>
  <si>
    <t>GOPS</t>
  </si>
  <si>
    <t>45.</t>
  </si>
  <si>
    <t>46.</t>
  </si>
  <si>
    <t>47.</t>
  </si>
  <si>
    <t>Nowa Iwiczna - Projekt i budowa  kanalizacji deszczowej ul. Wiosenna, Spacerowa, Zimowa i Graniczna  na odcinku od ul. Kwiatowej do ul. Mleczarskiej</t>
  </si>
  <si>
    <t xml:space="preserve"> Nowa Iwiczna i Stara Iwiczna - Projekt i budowa kanalizacji deszczowej ul. Kielecka, ul. Cisowa, ul. Krasickiego i Al. Zgoda</t>
  </si>
  <si>
    <t>UG - PRI</t>
  </si>
  <si>
    <t>Stachowo, Wólka Kosowska, PAN Kosów i Mroków - Projekt i budowa ul. Karasia z odwodnieniem</t>
  </si>
  <si>
    <t>2.1.20</t>
  </si>
  <si>
    <t>Zakup usług pozostałych</t>
  </si>
  <si>
    <t>Kolonia Lesznowola - Projekt  i budowa ul. Krótkiej</t>
  </si>
  <si>
    <t>Przeciwdzialanie wykluczeniu cyfrowemu w Gminie Lesznowola</t>
  </si>
  <si>
    <t xml:space="preserve">Magdalenka - Projekt świetlicy </t>
  </si>
  <si>
    <t>Stefanowo- Projekt i przebudowa ul. Uroczej wraz z budową chodnika</t>
  </si>
  <si>
    <t>2.1.21</t>
  </si>
  <si>
    <t>2.1.22</t>
  </si>
  <si>
    <t>2.1.23</t>
  </si>
  <si>
    <t>2.1.24</t>
  </si>
  <si>
    <t>2.1.25</t>
  </si>
  <si>
    <t>2.1.26</t>
  </si>
  <si>
    <t>Projekt Aktywni 50+ w Gminie Lesznowola</t>
  </si>
  <si>
    <t>Przewóz osób "L"</t>
  </si>
  <si>
    <t>2.1.27</t>
  </si>
  <si>
    <t>Jazgarzewszczyzna -Projekt budowy ul. Krzywej wraz z kanalizacją deszczową</t>
  </si>
  <si>
    <t>Łazy - Projekt budowy ul. Kwiatowej wraz z kanalizacją deszczową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</si>
  <si>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</si>
  <si>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</si>
  <si>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Wilcza Góra-Projekt  budowy ul. Przyleśnej wraz z kanalizacją deszczową</t>
  </si>
  <si>
    <t>Nowa Iwiczna - Projekt i rozbudowa ul. Torowej wraz z kanalizacją deszczową</t>
  </si>
  <si>
    <t>Nowa Iwiczna - Projekt budowy ul. Willowej wraz z  kanalizacją deszczową oraz projekt kanalizacji deszczoweu w ulicach: Willowej, Cichej , Krasickiego i działki nr. 31/40</t>
  </si>
  <si>
    <t xml:space="preserve">Lesznowola-Projekt i budowa parkingu wraz z odwodnieniem i zjazdem z drogi lokalnej 18 KD G-L przy Zespole Szkół Publicznych </t>
  </si>
  <si>
    <t xml:space="preserve">Lesznowola - Projekt budowy drogi na odcinku od ul. Jedności na działkach nr149/3, 150/4, 151/5 , 152, 159/1, 160/2 i 160/1  wraz z kanalizacja deszczową </t>
  </si>
  <si>
    <t>2.1.30</t>
  </si>
  <si>
    <t>Lesznowola - Projekt i  budowa  ul. Sportowej i Ornej wraz z kanalizacja deszczową</t>
  </si>
  <si>
    <t>Łazy - Projekt budowy ul. Spokojnej, Marzeń  i Szmaragdowej  wraz z kanalizacją deszczową</t>
  </si>
  <si>
    <t>10.03.2022</t>
  </si>
  <si>
    <t>10.06.2022</t>
  </si>
  <si>
    <t>10.09.2022</t>
  </si>
  <si>
    <t>10.12.2022</t>
  </si>
  <si>
    <t>Dzierżawa gruntu o pow. 1.600 m2 pod plac zabaw w Stefanowie cz. dz 59/8 i cz. Dz. 59/9</t>
  </si>
  <si>
    <t>Projekt  "Kapitał na przyszłość"</t>
  </si>
  <si>
    <t>PROGNOZA DŁUGU GMINY LESZNOWOLA NA LATA 2012- 2022</t>
  </si>
  <si>
    <t>WIELOLETNIA  PROGNOZA  FINANSOWA  GMINY  LESZNOWOLA  NA LATA  2012 - 2022</t>
  </si>
  <si>
    <t>Odszkodowania za drogi</t>
  </si>
  <si>
    <t>48.</t>
  </si>
  <si>
    <t>1.3.4</t>
  </si>
  <si>
    <t>Program "Praca z klasą"</t>
  </si>
  <si>
    <t>50.</t>
  </si>
  <si>
    <t>51.</t>
  </si>
  <si>
    <t>52.</t>
  </si>
  <si>
    <t>53.</t>
  </si>
  <si>
    <t>54.</t>
  </si>
  <si>
    <t>55.</t>
  </si>
  <si>
    <t>56.</t>
  </si>
  <si>
    <t>57.</t>
  </si>
  <si>
    <t>Projekt - "Internet dla mieszkańców Gminy Lesznowola"</t>
  </si>
  <si>
    <t>4119 b.p.</t>
  </si>
  <si>
    <t>4119 b.g.</t>
  </si>
  <si>
    <t>4129 b.p.</t>
  </si>
  <si>
    <t>4129 b.g.</t>
  </si>
  <si>
    <t>4179 b.p.</t>
  </si>
  <si>
    <t>4179 b.g.</t>
  </si>
  <si>
    <t>4309 b.p.</t>
  </si>
  <si>
    <t>4309 b.g.</t>
  </si>
  <si>
    <t>58.</t>
  </si>
  <si>
    <t>"Internet dla mieszkańców Gminy Lesznowola"</t>
  </si>
  <si>
    <t>6059 b.p.</t>
  </si>
  <si>
    <t>6059 b.g.</t>
  </si>
  <si>
    <t>54.186.024,-zł</t>
  </si>
  <si>
    <t>Mysiadło-Projekt i budowa przyłącza energetycznego 15 kV do CEiS (j.w.)</t>
  </si>
  <si>
    <t>2.1.3</t>
  </si>
  <si>
    <t>Programy, projekty lub zadania                                      (razem)</t>
  </si>
  <si>
    <t>Projekt - "Koncepcja zagospodarowania terenu dawnego KPGO Mysiadło"</t>
  </si>
  <si>
    <t>Najem lokalu na potrzeby świetlicy w Zgorzale</t>
  </si>
  <si>
    <t>Najem lokalu na garażowanie samochodu OSP Mroków</t>
  </si>
  <si>
    <t>UG - GGG</t>
  </si>
  <si>
    <t>Wywóz odpadów komunalnych</t>
  </si>
  <si>
    <t>21.</t>
  </si>
  <si>
    <t>49.</t>
  </si>
  <si>
    <t>59.</t>
  </si>
  <si>
    <t>60.</t>
  </si>
  <si>
    <t>61.</t>
  </si>
  <si>
    <t>62.</t>
  </si>
  <si>
    <t>Najem gruntów pod szkołę w Mysiadle</t>
  </si>
  <si>
    <t>63.</t>
  </si>
  <si>
    <t>Mysiadło - Projekt i budowa ulic Goździków, Poprzecznej, Wiejskiej i Zakręt wraz z kanalizacją deszczową</t>
  </si>
  <si>
    <t>Wilcza Góra-Projekt i budowa ul. Jasnej z odwodnieniem</t>
  </si>
  <si>
    <t>Zamienie- Budowa ul. Błędnej  III etap</t>
  </si>
  <si>
    <t xml:space="preserve">lisopad </t>
  </si>
  <si>
    <t>1.2.5</t>
  </si>
  <si>
    <t>2.1.31</t>
  </si>
  <si>
    <t>WYKONANIE</t>
  </si>
  <si>
    <t>LATA</t>
  </si>
  <si>
    <t xml:space="preserve">WYKONANIE </t>
  </si>
  <si>
    <t>Odławianie zwierząt bezdomnych</t>
  </si>
  <si>
    <t>Dowożenie i odwożenie dzieci niepełnosprawnych do placówek oświatowych w roku szkolnym 2012/2013</t>
  </si>
  <si>
    <t>Transport uczniów do szkół i ze szkół w roku szkolnym 2012/2013</t>
  </si>
  <si>
    <t>Zakup usług pozostałych -ZOPO</t>
  </si>
  <si>
    <t>Zakup usług pozostałych - Przedszkola</t>
  </si>
  <si>
    <t>Zakup usług pozostałych - Szkoły</t>
  </si>
  <si>
    <t>Zakup usług pozostałych- Urząd</t>
  </si>
  <si>
    <t>64.</t>
  </si>
  <si>
    <t>65.</t>
  </si>
  <si>
    <t>66.</t>
  </si>
  <si>
    <t>UG-ROŚ</t>
  </si>
  <si>
    <t>67.</t>
  </si>
  <si>
    <t>Zakup usług pozostałych- ochrona środwiska</t>
  </si>
  <si>
    <t>WYKAZ PRZEDSIĘWZIĘĆ GMINY LESZNOWOLA  NA LATA 2012 - 2017  rok - po zmianach</t>
  </si>
  <si>
    <t>2.1.28</t>
  </si>
  <si>
    <t>Rozwój elektronicznej administracji w samorządach województwa mazowieckiego wspomagającej niwelowanie dwudzielności potencjału województwa</t>
  </si>
  <si>
    <t>Przyspieszenie wzrostu konkurencyjności województwa mazowieckiego, przez budowanie społeczeństwa informatycznego i gospodarki opartej na wiedzy, przez stworzenie zintegrowanych baz wiedzy o Mazowszu</t>
  </si>
  <si>
    <t>2.1.9</t>
  </si>
  <si>
    <t>2.1.10</t>
  </si>
  <si>
    <t>8 600 000,-zł</t>
  </si>
  <si>
    <t>10 095 000,-zł</t>
  </si>
  <si>
    <t xml:space="preserve">Wólka Kosowska - Projekt i budowa przedszkola  II etap </t>
  </si>
  <si>
    <t>Zgorzała - Budowa świetlicy   I etap</t>
  </si>
  <si>
    <t>2.1.29</t>
  </si>
  <si>
    <t>1.1.5</t>
  </si>
  <si>
    <t>1.2.4</t>
  </si>
  <si>
    <t>z dnia 14 grudnia 2012r.</t>
  </si>
  <si>
    <t>Do Uchwały Nr 281/XIII/2012</t>
  </si>
  <si>
    <t>Do Uchwały Nr 281/XXIII/2012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</si>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</sst>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6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10"/>
      <name val="Cambria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9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6"/>
      <name val="Cambria"/>
      <family val="1"/>
    </font>
    <font>
      <b/>
      <sz val="11"/>
      <name val="Cambria"/>
      <family val="1"/>
    </font>
    <font>
      <b/>
      <sz val="20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/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/>
      <top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>
        <color indexed="8"/>
      </top>
      <bottom>
        <color indexed="63"/>
      </bottom>
    </border>
    <border>
      <left/>
      <right style="thin"/>
      <top/>
      <bottom/>
    </border>
    <border>
      <left/>
      <right style="thin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/>
      <top style="thin"/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>
        <color indexed="63"/>
      </right>
      <top style="thin"/>
      <bottom/>
    </border>
    <border>
      <left style="medium">
        <color indexed="8"/>
      </left>
      <right style="thin"/>
      <top style="thin"/>
      <bottom/>
    </border>
    <border>
      <left style="thin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87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29" fillId="0" borderId="14" xfId="0" applyNumberFormat="1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3" fontId="40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41" fillId="24" borderId="0" xfId="0" applyFont="1" applyFill="1" applyBorder="1" applyAlignment="1">
      <alignment vertical="center" wrapText="1"/>
    </xf>
    <xf numFmtId="0" fontId="42" fillId="24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24" borderId="0" xfId="0" applyFont="1" applyFill="1" applyBorder="1" applyAlignment="1">
      <alignment vertical="center" wrapText="1"/>
    </xf>
    <xf numFmtId="0" fontId="41" fillId="24" borderId="0" xfId="0" applyFont="1" applyFill="1" applyBorder="1" applyAlignment="1">
      <alignment vertical="top" wrapText="1"/>
    </xf>
    <xf numFmtId="0" fontId="44" fillId="24" borderId="0" xfId="0" applyFont="1" applyFill="1" applyBorder="1" applyAlignment="1">
      <alignment vertical="top"/>
    </xf>
    <xf numFmtId="0" fontId="45" fillId="24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6" fillId="24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/>
    </xf>
    <xf numFmtId="0" fontId="40" fillId="24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29" fillId="0" borderId="19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" fontId="29" fillId="24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3" fontId="29" fillId="0" borderId="0" xfId="0" applyNumberFormat="1" applyFont="1" applyAlignment="1">
      <alignment wrapText="1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41" fillId="0" borderId="20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textRotation="90"/>
    </xf>
    <xf numFmtId="3" fontId="44" fillId="0" borderId="14" xfId="0" applyNumberFormat="1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22" borderId="21" xfId="0" applyFont="1" applyFill="1" applyBorder="1" applyAlignment="1">
      <alignment horizontal="center" vertical="center"/>
    </xf>
    <xf numFmtId="3" fontId="41" fillId="22" borderId="14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4" fontId="41" fillId="0" borderId="14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165" fontId="41" fillId="0" borderId="14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3" fontId="44" fillId="24" borderId="14" xfId="0" applyNumberFormat="1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4" fillId="0" borderId="18" xfId="0" applyFont="1" applyBorder="1" applyAlignment="1">
      <alignment/>
    </xf>
    <xf numFmtId="0" fontId="44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1" fillId="0" borderId="26" xfId="0" applyFont="1" applyBorder="1" applyAlignment="1">
      <alignment horizontal="center" vertical="center"/>
    </xf>
    <xf numFmtId="0" fontId="47" fillId="24" borderId="0" xfId="0" applyFont="1" applyFill="1" applyBorder="1" applyAlignment="1">
      <alignment horizontal="right" vertical="top" wrapText="1"/>
    </xf>
    <xf numFmtId="0" fontId="29" fillId="24" borderId="0" xfId="0" applyFont="1" applyFill="1" applyBorder="1" applyAlignment="1">
      <alignment horizontal="right" vertical="top" wrapText="1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 wrapText="1"/>
    </xf>
    <xf numFmtId="3" fontId="40" fillId="0" borderId="28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left" vertical="center" wrapText="1"/>
    </xf>
    <xf numFmtId="165" fontId="29" fillId="22" borderId="14" xfId="0" applyNumberFormat="1" applyFont="1" applyFill="1" applyBorder="1" applyAlignment="1">
      <alignment horizontal="center" vertical="center"/>
    </xf>
    <xf numFmtId="0" fontId="29" fillId="22" borderId="19" xfId="0" applyFont="1" applyFill="1" applyBorder="1" applyAlignment="1">
      <alignment horizontal="left" vertical="center" wrapText="1"/>
    </xf>
    <xf numFmtId="4" fontId="29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3" fontId="48" fillId="0" borderId="14" xfId="0" applyNumberFormat="1" applyFont="1" applyBorder="1" applyAlignment="1">
      <alignment horizontal="center" vertical="center"/>
    </xf>
    <xf numFmtId="3" fontId="37" fillId="0" borderId="14" xfId="0" applyNumberFormat="1" applyFont="1" applyBorder="1" applyAlignment="1">
      <alignment horizontal="center" vertical="center"/>
    </xf>
    <xf numFmtId="0" fontId="29" fillId="22" borderId="24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left" vertical="center" wrapText="1"/>
    </xf>
    <xf numFmtId="4" fontId="29" fillId="22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top" wrapText="1"/>
    </xf>
    <xf numFmtId="0" fontId="42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9" fillId="0" borderId="29" xfId="0" applyFont="1" applyBorder="1" applyAlignment="1">
      <alignment horizontal="left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3" fontId="50" fillId="0" borderId="30" xfId="0" applyNumberFormat="1" applyFont="1" applyBorder="1" applyAlignment="1">
      <alignment horizontal="center" vertical="center"/>
    </xf>
    <xf numFmtId="3" fontId="50" fillId="0" borderId="14" xfId="0" applyNumberFormat="1" applyFont="1" applyFill="1" applyBorder="1" applyAlignment="1">
      <alignment horizontal="center" vertical="center" wrapText="1"/>
    </xf>
    <xf numFmtId="3" fontId="50" fillId="0" borderId="31" xfId="0" applyNumberFormat="1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 vertical="center" wrapText="1"/>
    </xf>
    <xf numFmtId="3" fontId="50" fillId="0" borderId="32" xfId="0" applyNumberFormat="1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center" vertical="center" wrapText="1"/>
    </xf>
    <xf numFmtId="3" fontId="50" fillId="0" borderId="33" xfId="0" applyNumberFormat="1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center" vertical="center" wrapText="1"/>
    </xf>
    <xf numFmtId="3" fontId="29" fillId="0" borderId="35" xfId="0" applyNumberFormat="1" applyFont="1" applyFill="1" applyBorder="1" applyAlignment="1">
      <alignment horizontal="center" vertical="center" wrapText="1"/>
    </xf>
    <xf numFmtId="3" fontId="50" fillId="0" borderId="35" xfId="0" applyNumberFormat="1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right" vertical="center" wrapText="1"/>
    </xf>
    <xf numFmtId="0" fontId="29" fillId="0" borderId="37" xfId="0" applyFont="1" applyFill="1" applyBorder="1" applyAlignment="1">
      <alignment horizontal="center" vertical="center" wrapText="1"/>
    </xf>
    <xf numFmtId="3" fontId="29" fillId="0" borderId="37" xfId="0" applyNumberFormat="1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2" fontId="29" fillId="0" borderId="29" xfId="0" applyNumberFormat="1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/>
    </xf>
    <xf numFmtId="0" fontId="29" fillId="0" borderId="38" xfId="0" applyFont="1" applyFill="1" applyBorder="1" applyAlignment="1">
      <alignment horizontal="left" vertical="center" wrapText="1"/>
    </xf>
    <xf numFmtId="3" fontId="29" fillId="0" borderId="38" xfId="0" applyNumberFormat="1" applyFont="1" applyBorder="1" applyAlignment="1">
      <alignment horizontal="center" vertical="center"/>
    </xf>
    <xf numFmtId="3" fontId="40" fillId="0" borderId="38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3" fontId="41" fillId="25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65" fontId="41" fillId="0" borderId="14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41" fillId="0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39" xfId="0" applyNumberFormat="1" applyFont="1" applyBorder="1" applyAlignment="1">
      <alignment/>
    </xf>
    <xf numFmtId="1" fontId="21" fillId="0" borderId="35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 vertical="top" wrapText="1"/>
    </xf>
    <xf numFmtId="3" fontId="18" fillId="0" borderId="35" xfId="0" applyNumberFormat="1" applyFont="1" applyBorder="1" applyAlignment="1">
      <alignment horizontal="center" vertical="top" wrapText="1"/>
    </xf>
    <xf numFmtId="3" fontId="18" fillId="0" borderId="35" xfId="0" applyNumberFormat="1" applyFont="1" applyBorder="1" applyAlignment="1">
      <alignment/>
    </xf>
    <xf numFmtId="164" fontId="21" fillId="0" borderId="40" xfId="0" applyNumberFormat="1" applyFont="1" applyBorder="1" applyAlignment="1">
      <alignment/>
    </xf>
    <xf numFmtId="1" fontId="21" fillId="0" borderId="32" xfId="0" applyNumberFormat="1" applyFont="1" applyBorder="1" applyAlignment="1">
      <alignment horizontal="center"/>
    </xf>
    <xf numFmtId="3" fontId="21" fillId="0" borderId="32" xfId="0" applyNumberFormat="1" applyFont="1" applyBorder="1" applyAlignment="1">
      <alignment horizontal="center" vertical="top" wrapText="1"/>
    </xf>
    <xf numFmtId="3" fontId="18" fillId="0" borderId="32" xfId="0" applyNumberFormat="1" applyFont="1" applyBorder="1" applyAlignment="1">
      <alignment horizontal="center" vertical="top" wrapText="1"/>
    </xf>
    <xf numFmtId="3" fontId="18" fillId="0" borderId="32" xfId="0" applyNumberFormat="1" applyFont="1" applyBorder="1" applyAlignment="1">
      <alignment/>
    </xf>
    <xf numFmtId="164" fontId="21" fillId="0" borderId="41" xfId="0" applyNumberFormat="1" applyFont="1" applyBorder="1" applyAlignment="1">
      <alignment/>
    </xf>
    <xf numFmtId="1" fontId="21" fillId="0" borderId="42" xfId="0" applyNumberFormat="1" applyFont="1" applyBorder="1" applyAlignment="1">
      <alignment horizontal="center"/>
    </xf>
    <xf numFmtId="3" fontId="21" fillId="0" borderId="42" xfId="0" applyNumberFormat="1" applyFont="1" applyBorder="1" applyAlignment="1">
      <alignment horizontal="center" vertical="top" wrapText="1"/>
    </xf>
    <xf numFmtId="3" fontId="18" fillId="0" borderId="42" xfId="0" applyNumberFormat="1" applyFont="1" applyBorder="1" applyAlignment="1">
      <alignment horizontal="center" vertical="top" wrapText="1"/>
    </xf>
    <xf numFmtId="3" fontId="18" fillId="0" borderId="42" xfId="0" applyNumberFormat="1" applyFont="1" applyBorder="1" applyAlignment="1">
      <alignment/>
    </xf>
    <xf numFmtId="164" fontId="21" fillId="22" borderId="40" xfId="0" applyNumberFormat="1" applyFont="1" applyFill="1" applyBorder="1" applyAlignment="1">
      <alignment/>
    </xf>
    <xf numFmtId="1" fontId="21" fillId="22" borderId="32" xfId="0" applyNumberFormat="1" applyFont="1" applyFill="1" applyBorder="1" applyAlignment="1">
      <alignment horizontal="center"/>
    </xf>
    <xf numFmtId="3" fontId="18" fillId="22" borderId="32" xfId="0" applyNumberFormat="1" applyFont="1" applyFill="1" applyBorder="1" applyAlignment="1">
      <alignment/>
    </xf>
    <xf numFmtId="164" fontId="21" fillId="22" borderId="41" xfId="0" applyNumberFormat="1" applyFont="1" applyFill="1" applyBorder="1" applyAlignment="1">
      <alignment/>
    </xf>
    <xf numFmtId="1" fontId="21" fillId="22" borderId="42" xfId="0" applyNumberFormat="1" applyFont="1" applyFill="1" applyBorder="1" applyAlignment="1">
      <alignment horizontal="center"/>
    </xf>
    <xf numFmtId="3" fontId="18" fillId="22" borderId="42" xfId="0" applyNumberFormat="1" applyFont="1" applyFill="1" applyBorder="1" applyAlignment="1">
      <alignment/>
    </xf>
    <xf numFmtId="164" fontId="21" fillId="22" borderId="43" xfId="0" applyNumberFormat="1" applyFont="1" applyFill="1" applyBorder="1" applyAlignment="1">
      <alignment/>
    </xf>
    <xf numFmtId="1" fontId="21" fillId="22" borderId="37" xfId="0" applyNumberFormat="1" applyFont="1" applyFill="1" applyBorder="1" applyAlignment="1">
      <alignment horizontal="center"/>
    </xf>
    <xf numFmtId="3" fontId="21" fillId="0" borderId="37" xfId="0" applyNumberFormat="1" applyFont="1" applyBorder="1" applyAlignment="1">
      <alignment horizontal="center" vertical="top" wrapText="1"/>
    </xf>
    <xf numFmtId="3" fontId="18" fillId="0" borderId="37" xfId="0" applyNumberFormat="1" applyFont="1" applyBorder="1" applyAlignment="1">
      <alignment horizontal="center" vertical="top" wrapText="1"/>
    </xf>
    <xf numFmtId="3" fontId="18" fillId="0" borderId="37" xfId="0" applyNumberFormat="1" applyFont="1" applyBorder="1" applyAlignment="1">
      <alignment/>
    </xf>
    <xf numFmtId="3" fontId="18" fillId="22" borderId="37" xfId="0" applyNumberFormat="1" applyFont="1" applyFill="1" applyBorder="1" applyAlignment="1">
      <alignment/>
    </xf>
    <xf numFmtId="164" fontId="21" fillId="22" borderId="39" xfId="0" applyNumberFormat="1" applyFont="1" applyFill="1" applyBorder="1" applyAlignment="1">
      <alignment/>
    </xf>
    <xf numFmtId="1" fontId="21" fillId="22" borderId="35" xfId="0" applyNumberFormat="1" applyFont="1" applyFill="1" applyBorder="1" applyAlignment="1">
      <alignment horizontal="center"/>
    </xf>
    <xf numFmtId="3" fontId="21" fillId="22" borderId="35" xfId="0" applyNumberFormat="1" applyFont="1" applyFill="1" applyBorder="1" applyAlignment="1">
      <alignment horizontal="center" vertical="top" wrapText="1"/>
    </xf>
    <xf numFmtId="3" fontId="18" fillId="22" borderId="35" xfId="0" applyNumberFormat="1" applyFont="1" applyFill="1" applyBorder="1" applyAlignment="1">
      <alignment/>
    </xf>
    <xf numFmtId="3" fontId="21" fillId="22" borderId="32" xfId="0" applyNumberFormat="1" applyFont="1" applyFill="1" applyBorder="1" applyAlignment="1">
      <alignment horizontal="center" vertical="top" wrapText="1"/>
    </xf>
    <xf numFmtId="3" fontId="21" fillId="22" borderId="42" xfId="0" applyNumberFormat="1" applyFont="1" applyFill="1" applyBorder="1" applyAlignment="1">
      <alignment horizontal="center" vertical="top" wrapText="1"/>
    </xf>
    <xf numFmtId="3" fontId="18" fillId="22" borderId="35" xfId="0" applyNumberFormat="1" applyFont="1" applyFill="1" applyBorder="1" applyAlignment="1">
      <alignment horizontal="center" vertical="top" wrapText="1"/>
    </xf>
    <xf numFmtId="3" fontId="18" fillId="22" borderId="32" xfId="0" applyNumberFormat="1" applyFont="1" applyFill="1" applyBorder="1" applyAlignment="1">
      <alignment horizontal="center" vertical="top" wrapText="1"/>
    </xf>
    <xf numFmtId="3" fontId="18" fillId="22" borderId="42" xfId="0" applyNumberFormat="1" applyFont="1" applyFill="1" applyBorder="1" applyAlignment="1">
      <alignment horizontal="center" vertical="top" wrapText="1"/>
    </xf>
    <xf numFmtId="3" fontId="21" fillId="22" borderId="37" xfId="0" applyNumberFormat="1" applyFont="1" applyFill="1" applyBorder="1" applyAlignment="1">
      <alignment horizontal="center" vertical="top" wrapText="1"/>
    </xf>
    <xf numFmtId="3" fontId="18" fillId="22" borderId="37" xfId="0" applyNumberFormat="1" applyFont="1" applyFill="1" applyBorder="1" applyAlignment="1">
      <alignment horizontal="center" vertical="top" wrapText="1"/>
    </xf>
    <xf numFmtId="3" fontId="20" fillId="0" borderId="44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46" xfId="0" applyNumberFormat="1" applyFont="1" applyBorder="1" applyAlignment="1">
      <alignment/>
    </xf>
    <xf numFmtId="3" fontId="18" fillId="0" borderId="47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3" fontId="18" fillId="22" borderId="47" xfId="0" applyNumberFormat="1" applyFont="1" applyFill="1" applyBorder="1" applyAlignment="1">
      <alignment/>
    </xf>
    <xf numFmtId="3" fontId="18" fillId="22" borderId="48" xfId="0" applyNumberFormat="1" applyFont="1" applyFill="1" applyBorder="1" applyAlignment="1">
      <alignment/>
    </xf>
    <xf numFmtId="3" fontId="18" fillId="22" borderId="46" xfId="0" applyNumberFormat="1" applyFont="1" applyFill="1" applyBorder="1" applyAlignment="1">
      <alignment/>
    </xf>
    <xf numFmtId="3" fontId="18" fillId="22" borderId="49" xfId="0" applyNumberFormat="1" applyFont="1" applyFill="1" applyBorder="1" applyAlignment="1">
      <alignment/>
    </xf>
    <xf numFmtId="0" fontId="0" fillId="0" borderId="50" xfId="0" applyBorder="1" applyAlignment="1">
      <alignment/>
    </xf>
    <xf numFmtId="3" fontId="0" fillId="0" borderId="50" xfId="0" applyNumberFormat="1" applyBorder="1" applyAlignment="1">
      <alignment/>
    </xf>
    <xf numFmtId="0" fontId="18" fillId="0" borderId="50" xfId="0" applyFont="1" applyBorder="1" applyAlignment="1">
      <alignment/>
    </xf>
    <xf numFmtId="0" fontId="0" fillId="22" borderId="50" xfId="0" applyNumberFormat="1" applyFill="1" applyBorder="1" applyAlignment="1">
      <alignment/>
    </xf>
    <xf numFmtId="0" fontId="0" fillId="22" borderId="50" xfId="0" applyFill="1" applyBorder="1" applyAlignment="1">
      <alignment/>
    </xf>
    <xf numFmtId="3" fontId="0" fillId="22" borderId="50" xfId="0" applyNumberFormat="1" applyFill="1" applyBorder="1" applyAlignment="1">
      <alignment/>
    </xf>
    <xf numFmtId="0" fontId="0" fillId="0" borderId="50" xfId="0" applyNumberFormat="1" applyBorder="1" applyAlignment="1">
      <alignment/>
    </xf>
    <xf numFmtId="3" fontId="0" fillId="26" borderId="50" xfId="0" applyNumberFormat="1" applyFill="1" applyBorder="1" applyAlignment="1">
      <alignment/>
    </xf>
    <xf numFmtId="0" fontId="18" fillId="26" borderId="51" xfId="0" applyFont="1" applyFill="1" applyBorder="1" applyAlignment="1">
      <alignment/>
    </xf>
    <xf numFmtId="3" fontId="0" fillId="26" borderId="52" xfId="0" applyNumberFormat="1" applyFill="1" applyBorder="1" applyAlignment="1">
      <alignment/>
    </xf>
    <xf numFmtId="0" fontId="0" fillId="26" borderId="53" xfId="0" applyFill="1" applyBorder="1" applyAlignment="1">
      <alignment/>
    </xf>
    <xf numFmtId="0" fontId="0" fillId="26" borderId="54" xfId="0" applyFill="1" applyBorder="1" applyAlignment="1">
      <alignment/>
    </xf>
    <xf numFmtId="0" fontId="0" fillId="26" borderId="50" xfId="0" applyFill="1" applyBorder="1" applyAlignment="1">
      <alignment/>
    </xf>
    <xf numFmtId="0" fontId="18" fillId="26" borderId="50" xfId="0" applyFont="1" applyFill="1" applyBorder="1" applyAlignment="1">
      <alignment/>
    </xf>
    <xf numFmtId="3" fontId="0" fillId="26" borderId="0" xfId="0" applyNumberFormat="1" applyFill="1" applyAlignment="1">
      <alignment/>
    </xf>
    <xf numFmtId="3" fontId="27" fillId="26" borderId="0" xfId="0" applyNumberFormat="1" applyFont="1" applyFill="1" applyAlignment="1">
      <alignment/>
    </xf>
    <xf numFmtId="0" fontId="18" fillId="0" borderId="14" xfId="0" applyFont="1" applyFill="1" applyBorder="1" applyAlignment="1">
      <alignment/>
    </xf>
    <xf numFmtId="0" fontId="18" fillId="0" borderId="55" xfId="0" applyFont="1" applyFill="1" applyBorder="1" applyAlignment="1">
      <alignment/>
    </xf>
    <xf numFmtId="0" fontId="51" fillId="0" borderId="56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Border="1" applyAlignment="1">
      <alignment/>
    </xf>
    <xf numFmtId="0" fontId="44" fillId="0" borderId="5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top" wrapText="1"/>
    </xf>
    <xf numFmtId="3" fontId="50" fillId="0" borderId="16" xfId="0" applyNumberFormat="1" applyFont="1" applyFill="1" applyBorder="1" applyAlignment="1">
      <alignment horizontal="center" vertical="center" wrapText="1"/>
    </xf>
    <xf numFmtId="3" fontId="29" fillId="0" borderId="57" xfId="0" applyNumberFormat="1" applyFont="1" applyFill="1" applyBorder="1" applyAlignment="1">
      <alignment horizontal="center" vertical="center" wrapText="1"/>
    </xf>
    <xf numFmtId="3" fontId="50" fillId="0" borderId="57" xfId="0" applyNumberFormat="1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left" vertical="center" wrapText="1"/>
    </xf>
    <xf numFmtId="0" fontId="37" fillId="0" borderId="59" xfId="0" applyFont="1" applyFill="1" applyBorder="1" applyAlignment="1">
      <alignment horizontal="left" vertical="center" wrapText="1"/>
    </xf>
    <xf numFmtId="0" fontId="37" fillId="0" borderId="50" xfId="0" applyFont="1" applyBorder="1" applyAlignment="1">
      <alignment vertical="center" wrapText="1"/>
    </xf>
    <xf numFmtId="0" fontId="37" fillId="0" borderId="60" xfId="0" applyFont="1" applyBorder="1" applyAlignment="1">
      <alignment vertical="center" wrapText="1"/>
    </xf>
    <xf numFmtId="0" fontId="52" fillId="0" borderId="29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57" xfId="0" applyFont="1" applyFill="1" applyBorder="1" applyAlignment="1" quotePrefix="1">
      <alignment horizontal="center" vertical="center" wrapText="1"/>
    </xf>
    <xf numFmtId="0" fontId="29" fillId="27" borderId="16" xfId="0" applyFont="1" applyFill="1" applyBorder="1" applyAlignment="1">
      <alignment horizontal="center" vertical="center" wrapText="1"/>
    </xf>
    <xf numFmtId="3" fontId="53" fillId="27" borderId="16" xfId="0" applyNumberFormat="1" applyFont="1" applyFill="1" applyBorder="1" applyAlignment="1">
      <alignment horizontal="center" vertical="center" wrapText="1"/>
    </xf>
    <xf numFmtId="2" fontId="54" fillId="28" borderId="29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Border="1" applyAlignment="1">
      <alignment horizontal="center" vertical="center"/>
    </xf>
    <xf numFmtId="3" fontId="40" fillId="29" borderId="28" xfId="0" applyNumberFormat="1" applyFont="1" applyFill="1" applyBorder="1" applyAlignment="1">
      <alignment horizontal="center" vertical="center"/>
    </xf>
    <xf numFmtId="3" fontId="29" fillId="29" borderId="14" xfId="0" applyNumberFormat="1" applyFont="1" applyFill="1" applyBorder="1" applyAlignment="1">
      <alignment horizontal="center" vertical="center"/>
    </xf>
    <xf numFmtId="4" fontId="29" fillId="29" borderId="14" xfId="0" applyNumberFormat="1" applyFont="1" applyFill="1" applyBorder="1" applyAlignment="1">
      <alignment horizontal="center" vertical="center"/>
    </xf>
    <xf numFmtId="3" fontId="40" fillId="29" borderId="14" xfId="0" applyNumberFormat="1" applyFont="1" applyFill="1" applyBorder="1" applyAlignment="1">
      <alignment horizontal="center" vertical="center"/>
    </xf>
    <xf numFmtId="165" fontId="29" fillId="30" borderId="14" xfId="0" applyNumberFormat="1" applyFont="1" applyFill="1" applyBorder="1" applyAlignment="1">
      <alignment horizontal="center" vertical="center"/>
    </xf>
    <xf numFmtId="4" fontId="29" fillId="30" borderId="25" xfId="0" applyNumberFormat="1" applyFont="1" applyFill="1" applyBorder="1" applyAlignment="1">
      <alignment horizontal="center" vertical="center"/>
    </xf>
    <xf numFmtId="3" fontId="40" fillId="31" borderId="28" xfId="0" applyNumberFormat="1" applyFont="1" applyFill="1" applyBorder="1" applyAlignment="1">
      <alignment horizontal="center" vertical="center"/>
    </xf>
    <xf numFmtId="3" fontId="29" fillId="31" borderId="14" xfId="0" applyNumberFormat="1" applyFont="1" applyFill="1" applyBorder="1" applyAlignment="1">
      <alignment horizontal="center" vertical="center"/>
    </xf>
    <xf numFmtId="165" fontId="29" fillId="32" borderId="14" xfId="0" applyNumberFormat="1" applyFont="1" applyFill="1" applyBorder="1" applyAlignment="1">
      <alignment horizontal="center" vertical="center"/>
    </xf>
    <xf numFmtId="4" fontId="29" fillId="31" borderId="14" xfId="0" applyNumberFormat="1" applyFont="1" applyFill="1" applyBorder="1" applyAlignment="1">
      <alignment horizontal="center" vertical="center"/>
    </xf>
    <xf numFmtId="3" fontId="40" fillId="31" borderId="14" xfId="0" applyNumberFormat="1" applyFont="1" applyFill="1" applyBorder="1" applyAlignment="1">
      <alignment horizontal="center" vertical="center"/>
    </xf>
    <xf numFmtId="4" fontId="29" fillId="32" borderId="25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165" fontId="41" fillId="24" borderId="14" xfId="0" applyNumberFormat="1" applyFont="1" applyFill="1" applyBorder="1" applyAlignment="1">
      <alignment horizontal="center" vertical="center" wrapText="1"/>
    </xf>
    <xf numFmtId="0" fontId="44" fillId="0" borderId="61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3" fontId="41" fillId="29" borderId="19" xfId="0" applyNumberFormat="1" applyFont="1" applyFill="1" applyBorder="1" applyAlignment="1">
      <alignment horizontal="center" vertical="center"/>
    </xf>
    <xf numFmtId="3" fontId="44" fillId="29" borderId="19" xfId="0" applyNumberFormat="1" applyFont="1" applyFill="1" applyBorder="1" applyAlignment="1">
      <alignment horizontal="center" vertical="center"/>
    </xf>
    <xf numFmtId="3" fontId="41" fillId="25" borderId="19" xfId="0" applyNumberFormat="1" applyFont="1" applyFill="1" applyBorder="1" applyAlignment="1">
      <alignment horizontal="center" vertical="center" wrapText="1"/>
    </xf>
    <xf numFmtId="3" fontId="41" fillId="29" borderId="19" xfId="0" applyNumberFormat="1" applyFont="1" applyFill="1" applyBorder="1" applyAlignment="1">
      <alignment horizontal="center" vertical="center" wrapText="1"/>
    </xf>
    <xf numFmtId="4" fontId="41" fillId="29" borderId="19" xfId="0" applyNumberFormat="1" applyFont="1" applyFill="1" applyBorder="1" applyAlignment="1">
      <alignment horizontal="center" vertical="center" wrapText="1"/>
    </xf>
    <xf numFmtId="165" fontId="41" fillId="29" borderId="19" xfId="0" applyNumberFormat="1" applyFont="1" applyFill="1" applyBorder="1" applyAlignment="1">
      <alignment horizontal="center" vertical="center" wrapText="1"/>
    </xf>
    <xf numFmtId="3" fontId="41" fillId="29" borderId="62" xfId="0" applyNumberFormat="1" applyFont="1" applyFill="1" applyBorder="1" applyAlignment="1">
      <alignment horizontal="center" vertical="center" wrapText="1"/>
    </xf>
    <xf numFmtId="3" fontId="41" fillId="0" borderId="29" xfId="0" applyNumberFormat="1" applyFont="1" applyBorder="1" applyAlignment="1">
      <alignment horizontal="center" vertical="center"/>
    </xf>
    <xf numFmtId="3" fontId="41" fillId="22" borderId="29" xfId="0" applyNumberFormat="1" applyFont="1" applyFill="1" applyBorder="1" applyAlignment="1">
      <alignment horizontal="center" vertical="center" wrapText="1"/>
    </xf>
    <xf numFmtId="3" fontId="41" fillId="0" borderId="29" xfId="0" applyNumberFormat="1" applyFont="1" applyFill="1" applyBorder="1" applyAlignment="1">
      <alignment horizontal="center" vertical="center" wrapText="1"/>
    </xf>
    <xf numFmtId="3" fontId="41" fillId="0" borderId="29" xfId="0" applyNumberFormat="1" applyFont="1" applyFill="1" applyBorder="1" applyAlignment="1">
      <alignment horizontal="center" vertical="center"/>
    </xf>
    <xf numFmtId="4" fontId="41" fillId="0" borderId="29" xfId="0" applyNumberFormat="1" applyFont="1" applyFill="1" applyBorder="1" applyAlignment="1">
      <alignment horizontal="center" vertical="center" wrapText="1"/>
    </xf>
    <xf numFmtId="165" fontId="41" fillId="0" borderId="29" xfId="0" applyNumberFormat="1" applyFont="1" applyFill="1" applyBorder="1" applyAlignment="1">
      <alignment horizontal="center" vertical="center" wrapText="1"/>
    </xf>
    <xf numFmtId="3" fontId="41" fillId="0" borderId="29" xfId="0" applyNumberFormat="1" applyFont="1" applyBorder="1" applyAlignment="1">
      <alignment horizontal="center" vertical="center" wrapText="1"/>
    </xf>
    <xf numFmtId="3" fontId="44" fillId="0" borderId="29" xfId="0" applyNumberFormat="1" applyFont="1" applyBorder="1" applyAlignment="1">
      <alignment horizontal="center" vertical="center" wrapText="1"/>
    </xf>
    <xf numFmtId="3" fontId="41" fillId="0" borderId="63" xfId="0" applyNumberFormat="1" applyFont="1" applyBorder="1" applyAlignment="1">
      <alignment horizontal="center" vertical="center" wrapText="1"/>
    </xf>
    <xf numFmtId="3" fontId="41" fillId="31" borderId="21" xfId="0" applyNumberFormat="1" applyFont="1" applyFill="1" applyBorder="1" applyAlignment="1">
      <alignment horizontal="center" vertical="center"/>
    </xf>
    <xf numFmtId="3" fontId="44" fillId="31" borderId="21" xfId="0" applyNumberFormat="1" applyFont="1" applyFill="1" applyBorder="1" applyAlignment="1">
      <alignment horizontal="center" vertical="center"/>
    </xf>
    <xf numFmtId="3" fontId="41" fillId="31" borderId="21" xfId="0" applyNumberFormat="1" applyFont="1" applyFill="1" applyBorder="1" applyAlignment="1">
      <alignment horizontal="center" vertical="center" wrapText="1"/>
    </xf>
    <xf numFmtId="165" fontId="41" fillId="31" borderId="21" xfId="0" applyNumberFormat="1" applyFont="1" applyFill="1" applyBorder="1" applyAlignment="1">
      <alignment horizontal="center" vertical="center" wrapText="1"/>
    </xf>
    <xf numFmtId="3" fontId="44" fillId="31" borderId="21" xfId="0" applyNumberFormat="1" applyFont="1" applyFill="1" applyBorder="1" applyAlignment="1">
      <alignment horizontal="center" vertical="center" wrapText="1"/>
    </xf>
    <xf numFmtId="3" fontId="41" fillId="31" borderId="64" xfId="0" applyNumberFormat="1" applyFont="1" applyFill="1" applyBorder="1" applyAlignment="1">
      <alignment horizontal="center" vertical="center" wrapText="1"/>
    </xf>
    <xf numFmtId="3" fontId="44" fillId="29" borderId="19" xfId="0" applyNumberFormat="1" applyFont="1" applyFill="1" applyBorder="1" applyAlignment="1">
      <alignment horizontal="center" vertical="center" wrapText="1"/>
    </xf>
    <xf numFmtId="3" fontId="44" fillId="0" borderId="29" xfId="0" applyNumberFormat="1" applyFont="1" applyBorder="1" applyAlignment="1">
      <alignment horizontal="center" vertical="center"/>
    </xf>
    <xf numFmtId="3" fontId="44" fillId="0" borderId="29" xfId="0" applyNumberFormat="1" applyFont="1" applyFill="1" applyBorder="1" applyAlignment="1">
      <alignment horizontal="center" vertical="center"/>
    </xf>
    <xf numFmtId="3" fontId="44" fillId="0" borderId="29" xfId="0" applyNumberFormat="1" applyFont="1" applyFill="1" applyBorder="1" applyAlignment="1">
      <alignment horizontal="center" vertical="center" wrapText="1"/>
    </xf>
    <xf numFmtId="0" fontId="37" fillId="0" borderId="65" xfId="0" applyFont="1" applyBorder="1" applyAlignment="1">
      <alignment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66" xfId="0" applyFont="1" applyBorder="1" applyAlignment="1">
      <alignment vertical="center" wrapText="1"/>
    </xf>
    <xf numFmtId="0" fontId="37" fillId="0" borderId="55" xfId="0" applyFont="1" applyBorder="1" applyAlignment="1">
      <alignment vertical="center" wrapText="1"/>
    </xf>
    <xf numFmtId="3" fontId="50" fillId="29" borderId="14" xfId="0" applyNumberFormat="1" applyFont="1" applyFill="1" applyBorder="1" applyAlignment="1">
      <alignment horizontal="center" vertical="center" wrapText="1"/>
    </xf>
    <xf numFmtId="3" fontId="29" fillId="29" borderId="14" xfId="0" applyNumberFormat="1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right" vertical="center" wrapText="1"/>
    </xf>
    <xf numFmtId="0" fontId="37" fillId="0" borderId="29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29" fillId="29" borderId="14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/>
    </xf>
    <xf numFmtId="3" fontId="41" fillId="0" borderId="67" xfId="0" applyNumberFormat="1" applyFont="1" applyFill="1" applyBorder="1" applyAlignment="1">
      <alignment horizontal="center" vertical="center" wrapText="1"/>
    </xf>
    <xf numFmtId="3" fontId="23" fillId="0" borderId="67" xfId="0" applyNumberFormat="1" applyFont="1" applyFill="1" applyBorder="1" applyAlignment="1">
      <alignment horizontal="center" vertical="center" wrapText="1"/>
    </xf>
    <xf numFmtId="0" fontId="55" fillId="0" borderId="61" xfId="0" applyFont="1" applyBorder="1" applyAlignment="1">
      <alignment vertical="center" wrapText="1"/>
    </xf>
    <xf numFmtId="0" fontId="56" fillId="33" borderId="25" xfId="0" applyFont="1" applyFill="1" applyBorder="1" applyAlignment="1">
      <alignment horizontal="center" vertical="center" wrapText="1"/>
    </xf>
    <xf numFmtId="3" fontId="50" fillId="34" borderId="14" xfId="0" applyNumberFormat="1" applyFont="1" applyFill="1" applyBorder="1" applyAlignment="1">
      <alignment horizontal="center" vertical="center" wrapText="1"/>
    </xf>
    <xf numFmtId="3" fontId="29" fillId="34" borderId="31" xfId="0" applyNumberFormat="1" applyFont="1" applyFill="1" applyBorder="1" applyAlignment="1">
      <alignment horizontal="center" vertical="center" wrapText="1"/>
    </xf>
    <xf numFmtId="3" fontId="29" fillId="34" borderId="32" xfId="0" applyNumberFormat="1" applyFont="1" applyFill="1" applyBorder="1" applyAlignment="1">
      <alignment horizontal="center" vertical="center" wrapText="1"/>
    </xf>
    <xf numFmtId="3" fontId="29" fillId="34" borderId="33" xfId="0" applyNumberFormat="1" applyFont="1" applyFill="1" applyBorder="1" applyAlignment="1">
      <alignment horizontal="center" vertical="center" wrapText="1"/>
    </xf>
    <xf numFmtId="3" fontId="29" fillId="34" borderId="57" xfId="0" applyNumberFormat="1" applyFont="1" applyFill="1" applyBorder="1" applyAlignment="1">
      <alignment horizontal="center" vertical="center" wrapText="1"/>
    </xf>
    <xf numFmtId="3" fontId="29" fillId="34" borderId="14" xfId="0" applyNumberFormat="1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3" fontId="50" fillId="34" borderId="32" xfId="0" applyNumberFormat="1" applyFont="1" applyFill="1" applyBorder="1" applyAlignment="1">
      <alignment horizontal="center" vertical="center" wrapText="1"/>
    </xf>
    <xf numFmtId="3" fontId="50" fillId="34" borderId="33" xfId="0" applyNumberFormat="1" applyFont="1" applyFill="1" applyBorder="1" applyAlignment="1">
      <alignment horizontal="center" vertical="center" wrapText="1"/>
    </xf>
    <xf numFmtId="3" fontId="29" fillId="34" borderId="33" xfId="0" applyNumberFormat="1" applyFont="1" applyFill="1" applyBorder="1" applyAlignment="1" quotePrefix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53" fillId="34" borderId="16" xfId="0" applyNumberFormat="1" applyFont="1" applyFill="1" applyBorder="1" applyAlignment="1">
      <alignment horizontal="center" vertical="center" wrapText="1"/>
    </xf>
    <xf numFmtId="3" fontId="29" fillId="34" borderId="35" xfId="0" applyNumberFormat="1" applyFont="1" applyFill="1" applyBorder="1" applyAlignment="1">
      <alignment horizontal="center" vertical="center" wrapText="1"/>
    </xf>
    <xf numFmtId="3" fontId="29" fillId="34" borderId="68" xfId="0" applyNumberFormat="1" applyFont="1" applyFill="1" applyBorder="1" applyAlignment="1">
      <alignment horizontal="center" vertical="center" wrapText="1"/>
    </xf>
    <xf numFmtId="3" fontId="29" fillId="34" borderId="37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vertical="top" wrapText="1"/>
    </xf>
    <xf numFmtId="0" fontId="37" fillId="0" borderId="69" xfId="0" applyFont="1" applyBorder="1" applyAlignment="1">
      <alignment vertical="center" wrapText="1"/>
    </xf>
    <xf numFmtId="0" fontId="41" fillId="22" borderId="70" xfId="0" applyNumberFormat="1" applyFont="1" applyFill="1" applyBorder="1" applyAlignment="1">
      <alignment horizontal="center" vertical="center"/>
    </xf>
    <xf numFmtId="3" fontId="41" fillId="22" borderId="70" xfId="0" applyNumberFormat="1" applyFont="1" applyFill="1" applyBorder="1" applyAlignment="1">
      <alignment horizontal="center" vertical="center" wrapText="1"/>
    </xf>
    <xf numFmtId="0" fontId="41" fillId="32" borderId="70" xfId="0" applyNumberFormat="1" applyFont="1" applyFill="1" applyBorder="1" applyAlignment="1">
      <alignment horizontal="center" vertical="center"/>
    </xf>
    <xf numFmtId="0" fontId="55" fillId="0" borderId="14" xfId="0" applyFont="1" applyBorder="1" applyAlignment="1">
      <alignment horizontal="left" vertical="center" wrapText="1"/>
    </xf>
    <xf numFmtId="164" fontId="30" fillId="0" borderId="10" xfId="0" applyNumberFormat="1" applyFont="1" applyBorder="1" applyAlignment="1">
      <alignment horizontal="center" vertical="top" wrapText="1"/>
    </xf>
    <xf numFmtId="1" fontId="30" fillId="0" borderId="11" xfId="0" applyNumberFormat="1" applyFont="1" applyBorder="1" applyAlignment="1">
      <alignment horizontal="center" vertical="top" wrapText="1"/>
    </xf>
    <xf numFmtId="3" fontId="30" fillId="0" borderId="11" xfId="0" applyNumberFormat="1" applyFont="1" applyBorder="1" applyAlignment="1">
      <alignment horizontal="center" vertical="top" wrapText="1"/>
    </xf>
    <xf numFmtId="3" fontId="31" fillId="0" borderId="11" xfId="0" applyNumberFormat="1" applyFont="1" applyBorder="1" applyAlignment="1">
      <alignment horizontal="center" vertical="top" wrapText="1"/>
    </xf>
    <xf numFmtId="3" fontId="30" fillId="0" borderId="44" xfId="0" applyNumberFormat="1" applyFont="1" applyBorder="1" applyAlignment="1">
      <alignment horizontal="center" vertical="top" wrapText="1"/>
    </xf>
    <xf numFmtId="3" fontId="30" fillId="0" borderId="14" xfId="0" applyNumberFormat="1" applyFont="1" applyFill="1" applyBorder="1" applyAlignment="1">
      <alignment horizontal="center" vertical="top" wrapText="1"/>
    </xf>
    <xf numFmtId="3" fontId="30" fillId="0" borderId="55" xfId="0" applyNumberFormat="1" applyFont="1" applyFill="1" applyBorder="1" applyAlignment="1">
      <alignment horizontal="center" vertical="top" wrapText="1"/>
    </xf>
    <xf numFmtId="3" fontId="30" fillId="26" borderId="50" xfId="0" applyNumberFormat="1" applyFont="1" applyFill="1" applyBorder="1" applyAlignment="1">
      <alignment horizontal="center" vertical="top" wrapText="1"/>
    </xf>
    <xf numFmtId="164" fontId="18" fillId="0" borderId="13" xfId="0" applyNumberFormat="1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 vertical="top" wrapText="1"/>
    </xf>
    <xf numFmtId="3" fontId="18" fillId="0" borderId="14" xfId="0" applyNumberFormat="1" applyFont="1" applyFill="1" applyBorder="1" applyAlignment="1">
      <alignment/>
    </xf>
    <xf numFmtId="3" fontId="18" fillId="0" borderId="55" xfId="0" applyNumberFormat="1" applyFont="1" applyFill="1" applyBorder="1" applyAlignment="1">
      <alignment/>
    </xf>
    <xf numFmtId="3" fontId="0" fillId="26" borderId="50" xfId="0" applyNumberFormat="1" applyFont="1" applyFill="1" applyBorder="1" applyAlignment="1">
      <alignment/>
    </xf>
    <xf numFmtId="164" fontId="18" fillId="0" borderId="17" xfId="0" applyNumberFormat="1" applyFont="1" applyBorder="1" applyAlignment="1">
      <alignment/>
    </xf>
    <xf numFmtId="1" fontId="18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26" borderId="60" xfId="0" applyFont="1" applyFill="1" applyBorder="1" applyAlignment="1">
      <alignment/>
    </xf>
    <xf numFmtId="164" fontId="18" fillId="0" borderId="39" xfId="0" applyNumberFormat="1" applyFont="1" applyBorder="1" applyAlignment="1">
      <alignment/>
    </xf>
    <xf numFmtId="1" fontId="18" fillId="0" borderId="35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/>
    </xf>
    <xf numFmtId="1" fontId="18" fillId="0" borderId="32" xfId="0" applyNumberFormat="1" applyFont="1" applyBorder="1" applyAlignment="1">
      <alignment horizontal="center"/>
    </xf>
    <xf numFmtId="0" fontId="0" fillId="26" borderId="71" xfId="0" applyFont="1" applyFill="1" applyBorder="1" applyAlignment="1">
      <alignment/>
    </xf>
    <xf numFmtId="164" fontId="18" fillId="0" borderId="41" xfId="0" applyNumberFormat="1" applyFont="1" applyBorder="1" applyAlignment="1">
      <alignment/>
    </xf>
    <xf numFmtId="1" fontId="18" fillId="0" borderId="42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26" borderId="52" xfId="0" applyNumberFormat="1" applyFont="1" applyFill="1" applyBorder="1" applyAlignment="1">
      <alignment/>
    </xf>
    <xf numFmtId="3" fontId="0" fillId="26" borderId="51" xfId="0" applyNumberFormat="1" applyFont="1" applyFill="1" applyBorder="1" applyAlignment="1">
      <alignment/>
    </xf>
    <xf numFmtId="3" fontId="0" fillId="26" borderId="71" xfId="0" applyNumberFormat="1" applyFont="1" applyFill="1" applyBorder="1" applyAlignment="1">
      <alignment/>
    </xf>
    <xf numFmtId="164" fontId="18" fillId="22" borderId="40" xfId="0" applyNumberFormat="1" applyFont="1" applyFill="1" applyBorder="1" applyAlignment="1">
      <alignment/>
    </xf>
    <xf numFmtId="1" fontId="18" fillId="22" borderId="32" xfId="0" applyNumberFormat="1" applyFont="1" applyFill="1" applyBorder="1" applyAlignment="1">
      <alignment horizontal="center"/>
    </xf>
    <xf numFmtId="164" fontId="18" fillId="22" borderId="43" xfId="0" applyNumberFormat="1" applyFont="1" applyFill="1" applyBorder="1" applyAlignment="1">
      <alignment/>
    </xf>
    <xf numFmtId="1" fontId="18" fillId="22" borderId="37" xfId="0" applyNumberFormat="1" applyFont="1" applyFill="1" applyBorder="1" applyAlignment="1">
      <alignment horizontal="center"/>
    </xf>
    <xf numFmtId="3" fontId="0" fillId="26" borderId="72" xfId="0" applyNumberFormat="1" applyFont="1" applyFill="1" applyBorder="1" applyAlignment="1">
      <alignment/>
    </xf>
    <xf numFmtId="164" fontId="18" fillId="22" borderId="39" xfId="0" applyNumberFormat="1" applyFont="1" applyFill="1" applyBorder="1" applyAlignment="1">
      <alignment/>
    </xf>
    <xf numFmtId="1" fontId="18" fillId="22" borderId="35" xfId="0" applyNumberFormat="1" applyFont="1" applyFill="1" applyBorder="1" applyAlignment="1">
      <alignment horizontal="center"/>
    </xf>
    <xf numFmtId="164" fontId="18" fillId="22" borderId="41" xfId="0" applyNumberFormat="1" applyFont="1" applyFill="1" applyBorder="1" applyAlignment="1">
      <alignment/>
    </xf>
    <xf numFmtId="1" fontId="18" fillId="22" borderId="42" xfId="0" applyNumberFormat="1" applyFont="1" applyFill="1" applyBorder="1" applyAlignment="1">
      <alignment horizontal="center"/>
    </xf>
    <xf numFmtId="164" fontId="18" fillId="0" borderId="43" xfId="0" applyNumberFormat="1" applyFont="1" applyBorder="1" applyAlignment="1">
      <alignment/>
    </xf>
    <xf numFmtId="1" fontId="18" fillId="0" borderId="37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74" xfId="0" applyNumberFormat="1" applyFont="1" applyFill="1" applyBorder="1" applyAlignment="1">
      <alignment/>
    </xf>
    <xf numFmtId="3" fontId="40" fillId="0" borderId="14" xfId="0" applyNumberFormat="1" applyFont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29" fillId="0" borderId="58" xfId="0" applyFont="1" applyBorder="1" applyAlignment="1">
      <alignment horizontal="left" vertical="center" wrapText="1"/>
    </xf>
    <xf numFmtId="3" fontId="29" fillId="0" borderId="57" xfId="0" applyNumberFormat="1" applyFont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50" fillId="27" borderId="16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7" fillId="35" borderId="58" xfId="0" applyFont="1" applyFill="1" applyBorder="1" applyAlignment="1">
      <alignment horizontal="left" vertical="center" wrapText="1"/>
    </xf>
    <xf numFmtId="0" fontId="51" fillId="35" borderId="57" xfId="0" applyFont="1" applyFill="1" applyBorder="1" applyAlignment="1">
      <alignment horizontal="center" vertical="center" wrapText="1"/>
    </xf>
    <xf numFmtId="3" fontId="57" fillId="35" borderId="57" xfId="0" applyNumberFormat="1" applyFont="1" applyFill="1" applyBorder="1" applyAlignment="1">
      <alignment horizontal="center" vertical="center" wrapText="1"/>
    </xf>
    <xf numFmtId="3" fontId="57" fillId="36" borderId="57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57" fillId="35" borderId="29" xfId="0" applyFont="1" applyFill="1" applyBorder="1" applyAlignment="1">
      <alignment horizontal="left" vertical="center" wrapText="1"/>
    </xf>
    <xf numFmtId="0" fontId="51" fillId="35" borderId="14" xfId="0" applyFont="1" applyFill="1" applyBorder="1" applyAlignment="1">
      <alignment horizontal="center" vertical="center" wrapText="1"/>
    </xf>
    <xf numFmtId="3" fontId="57" fillId="35" borderId="14" xfId="0" applyNumberFormat="1" applyFont="1" applyFill="1" applyBorder="1" applyAlignment="1">
      <alignment horizontal="center" vertical="center" wrapText="1"/>
    </xf>
    <xf numFmtId="3" fontId="57" fillId="36" borderId="14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3" fillId="24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3" fillId="6" borderId="0" xfId="0" applyFont="1" applyFill="1" applyAlignment="1">
      <alignment/>
    </xf>
    <xf numFmtId="0" fontId="54" fillId="28" borderId="29" xfId="0" applyFont="1" applyFill="1" applyBorder="1" applyAlignment="1">
      <alignment horizontal="left" vertical="center" wrapText="1"/>
    </xf>
    <xf numFmtId="0" fontId="57" fillId="28" borderId="0" xfId="0" applyFont="1" applyFill="1" applyBorder="1" applyAlignment="1">
      <alignment horizontal="center" vertical="center" wrapText="1"/>
    </xf>
    <xf numFmtId="0" fontId="57" fillId="28" borderId="14" xfId="0" applyFont="1" applyFill="1" applyBorder="1" applyAlignment="1">
      <alignment horizontal="center" vertical="center" wrapText="1"/>
    </xf>
    <xf numFmtId="3" fontId="54" fillId="28" borderId="14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3" fontId="57" fillId="28" borderId="14" xfId="0" applyNumberFormat="1" applyFont="1" applyFill="1" applyBorder="1" applyAlignment="1">
      <alignment horizontal="center" vertical="center" wrapText="1"/>
    </xf>
    <xf numFmtId="0" fontId="57" fillId="28" borderId="16" xfId="0" applyFont="1" applyFill="1" applyBorder="1" applyAlignment="1">
      <alignment horizontal="center" vertical="center" wrapText="1"/>
    </xf>
    <xf numFmtId="3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57" fillId="35" borderId="14" xfId="0" applyFont="1" applyFill="1" applyBorder="1" applyAlignment="1">
      <alignment horizontal="center" vertical="center" wrapText="1"/>
    </xf>
    <xf numFmtId="3" fontId="52" fillId="35" borderId="14" xfId="0" applyNumberFormat="1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3" fontId="50" fillId="37" borderId="14" xfId="0" applyNumberFormat="1" applyFont="1" applyFill="1" applyBorder="1" applyAlignment="1">
      <alignment horizontal="center" vertical="center" wrapText="1"/>
    </xf>
    <xf numFmtId="0" fontId="57" fillId="35" borderId="75" xfId="0" applyFont="1" applyFill="1" applyBorder="1" applyAlignment="1">
      <alignment horizontal="center" vertical="center"/>
    </xf>
    <xf numFmtId="3" fontId="57" fillId="35" borderId="76" xfId="0" applyNumberFormat="1" applyFont="1" applyFill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3" fontId="50" fillId="0" borderId="55" xfId="0" applyNumberFormat="1" applyFont="1" applyBorder="1" applyAlignment="1">
      <alignment horizontal="center" vertical="center"/>
    </xf>
    <xf numFmtId="0" fontId="57" fillId="35" borderId="77" xfId="0" applyFont="1" applyFill="1" applyBorder="1" applyAlignment="1">
      <alignment horizontal="center" vertical="center"/>
    </xf>
    <xf numFmtId="3" fontId="57" fillId="35" borderId="55" xfId="0" applyNumberFormat="1" applyFont="1" applyFill="1" applyBorder="1" applyAlignment="1">
      <alignment horizontal="center" vertical="center"/>
    </xf>
    <xf numFmtId="3" fontId="50" fillId="0" borderId="55" xfId="0" applyNumberFormat="1" applyFont="1" applyBorder="1" applyAlignment="1">
      <alignment horizontal="center" vertical="center" wrapText="1"/>
    </xf>
    <xf numFmtId="166" fontId="54" fillId="28" borderId="77" xfId="0" applyNumberFormat="1" applyFont="1" applyFill="1" applyBorder="1" applyAlignment="1">
      <alignment horizontal="center" vertical="center"/>
    </xf>
    <xf numFmtId="3" fontId="54" fillId="28" borderId="55" xfId="0" applyNumberFormat="1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3" fontId="50" fillId="0" borderId="79" xfId="0" applyNumberFormat="1" applyFont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/>
    </xf>
    <xf numFmtId="3" fontId="50" fillId="0" borderId="80" xfId="0" applyNumberFormat="1" applyFont="1" applyBorder="1" applyAlignment="1">
      <alignment horizontal="center" vertical="center"/>
    </xf>
    <xf numFmtId="3" fontId="50" fillId="0" borderId="76" xfId="0" applyNumberFormat="1" applyFont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55" fillId="0" borderId="50" xfId="0" applyFont="1" applyBorder="1" applyAlignment="1">
      <alignment vertical="center" wrapText="1"/>
    </xf>
    <xf numFmtId="0" fontId="29" fillId="0" borderId="82" xfId="0" applyFont="1" applyFill="1" applyBorder="1" applyAlignment="1">
      <alignment horizontal="center" vertical="center" wrapText="1"/>
    </xf>
    <xf numFmtId="0" fontId="29" fillId="0" borderId="83" xfId="0" applyFont="1" applyFill="1" applyBorder="1" applyAlignment="1">
      <alignment horizontal="center" vertical="center" wrapText="1"/>
    </xf>
    <xf numFmtId="3" fontId="29" fillId="0" borderId="83" xfId="0" applyNumberFormat="1" applyFont="1" applyFill="1" applyBorder="1" applyAlignment="1">
      <alignment horizontal="center" vertical="center" wrapText="1"/>
    </xf>
    <xf numFmtId="3" fontId="29" fillId="34" borderId="83" xfId="0" applyNumberFormat="1" applyFont="1" applyFill="1" applyBorder="1" applyAlignment="1">
      <alignment horizontal="center" vertical="center" wrapText="1"/>
    </xf>
    <xf numFmtId="3" fontId="50" fillId="34" borderId="82" xfId="0" applyNumberFormat="1" applyFont="1" applyFill="1" applyBorder="1" applyAlignment="1">
      <alignment horizontal="center" vertical="center" wrapText="1"/>
    </xf>
    <xf numFmtId="3" fontId="50" fillId="0" borderId="83" xfId="0" applyNumberFormat="1" applyFont="1" applyFill="1" applyBorder="1" applyAlignment="1">
      <alignment horizontal="center" vertical="center" wrapText="1"/>
    </xf>
    <xf numFmtId="0" fontId="50" fillId="0" borderId="83" xfId="0" applyFont="1" applyFill="1" applyBorder="1" applyAlignment="1">
      <alignment horizontal="center" vertical="center" wrapText="1"/>
    </xf>
    <xf numFmtId="3" fontId="50" fillId="0" borderId="84" xfId="0" applyNumberFormat="1" applyFont="1" applyBorder="1" applyAlignment="1">
      <alignment horizontal="center" vertical="center"/>
    </xf>
    <xf numFmtId="0" fontId="29" fillId="0" borderId="77" xfId="0" applyFont="1" applyFill="1" applyBorder="1" applyAlignment="1">
      <alignment horizontal="center" vertical="center"/>
    </xf>
    <xf numFmtId="0" fontId="57" fillId="28" borderId="77" xfId="0" applyFont="1" applyFill="1" applyBorder="1" applyAlignment="1">
      <alignment horizontal="center" vertical="center"/>
    </xf>
    <xf numFmtId="3" fontId="57" fillId="28" borderId="55" xfId="0" applyNumberFormat="1" applyFont="1" applyFill="1" applyBorder="1" applyAlignment="1">
      <alignment horizontal="center" vertical="center" wrapText="1"/>
    </xf>
    <xf numFmtId="3" fontId="53" fillId="27" borderId="85" xfId="0" applyNumberFormat="1" applyFont="1" applyFill="1" applyBorder="1" applyAlignment="1">
      <alignment horizontal="center" vertical="center" wrapText="1"/>
    </xf>
    <xf numFmtId="0" fontId="29" fillId="0" borderId="86" xfId="0" applyFont="1" applyFill="1" applyBorder="1" applyAlignment="1">
      <alignment horizontal="center" vertical="center"/>
    </xf>
    <xf numFmtId="3" fontId="50" fillId="0" borderId="87" xfId="0" applyNumberFormat="1" applyFont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3" fontId="50" fillId="0" borderId="89" xfId="0" applyNumberFormat="1" applyFont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2" fontId="29" fillId="0" borderId="91" xfId="0" applyNumberFormat="1" applyFont="1" applyFill="1" applyBorder="1" applyAlignment="1">
      <alignment horizontal="left" vertical="center" wrapText="1"/>
    </xf>
    <xf numFmtId="3" fontId="29" fillId="0" borderId="82" xfId="0" applyNumberFormat="1" applyFont="1" applyFill="1" applyBorder="1" applyAlignment="1">
      <alignment horizontal="center" vertical="center" wrapText="1"/>
    </xf>
    <xf numFmtId="3" fontId="29" fillId="34" borderId="82" xfId="0" applyNumberFormat="1" applyFont="1" applyFill="1" applyBorder="1" applyAlignment="1">
      <alignment horizontal="center" vertical="center" wrapText="1"/>
    </xf>
    <xf numFmtId="3" fontId="50" fillId="0" borderId="82" xfId="0" applyNumberFormat="1" applyFont="1" applyFill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center" vertical="center" wrapText="1"/>
    </xf>
    <xf numFmtId="3" fontId="50" fillId="0" borderId="92" xfId="0" applyNumberFormat="1" applyFont="1" applyBorder="1" applyAlignment="1">
      <alignment horizontal="center" vertical="center"/>
    </xf>
    <xf numFmtId="0" fontId="57" fillId="35" borderId="57" xfId="0" applyFont="1" applyFill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center" vertical="center"/>
    </xf>
    <xf numFmtId="3" fontId="50" fillId="0" borderId="55" xfId="0" applyNumberFormat="1" applyFont="1" applyFill="1" applyBorder="1" applyAlignment="1">
      <alignment horizontal="center" vertical="center" wrapText="1"/>
    </xf>
    <xf numFmtId="3" fontId="50" fillId="0" borderId="85" xfId="0" applyNumberFormat="1" applyFont="1" applyBorder="1" applyAlignment="1">
      <alignment horizontal="center" vertical="center"/>
    </xf>
    <xf numFmtId="3" fontId="54" fillId="38" borderId="76" xfId="0" applyNumberFormat="1" applyFont="1" applyFill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91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center" vertical="center" wrapText="1"/>
    </xf>
    <xf numFmtId="3" fontId="29" fillId="0" borderId="82" xfId="0" applyNumberFormat="1" applyFont="1" applyBorder="1" applyAlignment="1">
      <alignment horizontal="center" vertical="center" wrapText="1"/>
    </xf>
    <xf numFmtId="3" fontId="50" fillId="0" borderId="93" xfId="0" applyNumberFormat="1" applyFont="1" applyBorder="1" applyAlignment="1">
      <alignment horizontal="center" vertical="center"/>
    </xf>
    <xf numFmtId="3" fontId="29" fillId="0" borderId="29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9" fillId="29" borderId="16" xfId="0" applyNumberFormat="1" applyFont="1" applyFill="1" applyBorder="1" applyAlignment="1">
      <alignment horizontal="center" vertical="center" wrapText="1"/>
    </xf>
    <xf numFmtId="0" fontId="29" fillId="29" borderId="16" xfId="0" applyFont="1" applyFill="1" applyBorder="1" applyAlignment="1">
      <alignment horizontal="center" vertical="center" wrapText="1"/>
    </xf>
    <xf numFmtId="0" fontId="29" fillId="0" borderId="94" xfId="0" applyFont="1" applyBorder="1" applyAlignment="1">
      <alignment horizontal="left" vertical="center" wrapText="1"/>
    </xf>
    <xf numFmtId="0" fontId="29" fillId="0" borderId="95" xfId="0" applyFont="1" applyFill="1" applyBorder="1" applyAlignment="1">
      <alignment horizontal="center" vertical="center" wrapText="1"/>
    </xf>
    <xf numFmtId="0" fontId="29" fillId="0" borderId="95" xfId="0" applyFont="1" applyBorder="1" applyAlignment="1">
      <alignment horizontal="center" vertical="center" wrapText="1"/>
    </xf>
    <xf numFmtId="3" fontId="29" fillId="0" borderId="95" xfId="0" applyNumberFormat="1" applyFont="1" applyBorder="1" applyAlignment="1">
      <alignment horizontal="center" vertical="center" wrapText="1"/>
    </xf>
    <xf numFmtId="3" fontId="29" fillId="29" borderId="95" xfId="0" applyNumberFormat="1" applyFont="1" applyFill="1" applyBorder="1" applyAlignment="1">
      <alignment horizontal="center" vertical="center" wrapText="1"/>
    </xf>
    <xf numFmtId="0" fontId="29" fillId="29" borderId="95" xfId="0" applyFont="1" applyFill="1" applyBorder="1" applyAlignment="1">
      <alignment horizontal="center" vertical="center" wrapText="1"/>
    </xf>
    <xf numFmtId="3" fontId="50" fillId="0" borderId="96" xfId="0" applyNumberFormat="1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 wrapText="1"/>
    </xf>
    <xf numFmtId="3" fontId="40" fillId="0" borderId="97" xfId="0" applyNumberFormat="1" applyFont="1" applyBorder="1" applyAlignment="1">
      <alignment horizontal="center" vertical="center" wrapText="1"/>
    </xf>
    <xf numFmtId="3" fontId="40" fillId="29" borderId="97" xfId="0" applyNumberFormat="1" applyFont="1" applyFill="1" applyBorder="1" applyAlignment="1">
      <alignment horizontal="center" vertical="center" wrapText="1"/>
    </xf>
    <xf numFmtId="3" fontId="53" fillId="0" borderId="98" xfId="0" applyNumberFormat="1" applyFont="1" applyBorder="1" applyAlignment="1">
      <alignment horizontal="center" vertical="center"/>
    </xf>
    <xf numFmtId="3" fontId="40" fillId="0" borderId="55" xfId="0" applyNumberFormat="1" applyFont="1" applyBorder="1" applyAlignment="1">
      <alignment horizontal="center" vertical="center" wrapText="1"/>
    </xf>
    <xf numFmtId="3" fontId="54" fillId="38" borderId="55" xfId="0" applyNumberFormat="1" applyFont="1" applyFill="1" applyBorder="1" applyAlignment="1">
      <alignment horizontal="center" vertical="center"/>
    </xf>
    <xf numFmtId="0" fontId="50" fillId="0" borderId="77" xfId="0" applyFont="1" applyFill="1" applyBorder="1" applyAlignment="1">
      <alignment horizontal="center" vertical="center"/>
    </xf>
    <xf numFmtId="0" fontId="55" fillId="0" borderId="99" xfId="0" applyFont="1" applyBorder="1" applyAlignment="1">
      <alignment vertical="center" wrapText="1"/>
    </xf>
    <xf numFmtId="0" fontId="44" fillId="0" borderId="100" xfId="0" applyFont="1" applyBorder="1" applyAlignment="1">
      <alignment horizontal="center" vertical="center"/>
    </xf>
    <xf numFmtId="0" fontId="44" fillId="0" borderId="101" xfId="0" applyFont="1" applyBorder="1" applyAlignment="1">
      <alignment horizontal="left" vertical="center"/>
    </xf>
    <xf numFmtId="0" fontId="44" fillId="0" borderId="102" xfId="0" applyFont="1" applyBorder="1" applyAlignment="1">
      <alignment horizontal="left" vertical="center" wrapText="1"/>
    </xf>
    <xf numFmtId="3" fontId="44" fillId="29" borderId="102" xfId="0" applyNumberFormat="1" applyFont="1" applyFill="1" applyBorder="1" applyAlignment="1">
      <alignment horizontal="center" vertical="center"/>
    </xf>
    <xf numFmtId="3" fontId="44" fillId="31" borderId="100" xfId="0" applyNumberFormat="1" applyFont="1" applyFill="1" applyBorder="1" applyAlignment="1">
      <alignment horizontal="center" vertical="center"/>
    </xf>
    <xf numFmtId="3" fontId="44" fillId="0" borderId="82" xfId="0" applyNumberFormat="1" applyFont="1" applyFill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3" fontId="50" fillId="0" borderId="37" xfId="0" applyNumberFormat="1" applyFont="1" applyFill="1" applyBorder="1" applyAlignment="1">
      <alignment horizontal="center" vertical="center" wrapText="1"/>
    </xf>
    <xf numFmtId="0" fontId="29" fillId="0" borderId="103" xfId="0" applyFont="1" applyFill="1" applyBorder="1" applyAlignment="1">
      <alignment horizontal="center" vertical="center"/>
    </xf>
    <xf numFmtId="0" fontId="29" fillId="0" borderId="104" xfId="0" applyFont="1" applyFill="1" applyBorder="1" applyAlignment="1">
      <alignment horizontal="right" vertical="center" wrapText="1"/>
    </xf>
    <xf numFmtId="0" fontId="24" fillId="34" borderId="14" xfId="0" applyFont="1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29" fillId="34" borderId="14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3" fontId="29" fillId="34" borderId="95" xfId="0" applyNumberFormat="1" applyFont="1" applyFill="1" applyBorder="1" applyAlignment="1">
      <alignment horizontal="center" vertical="center" wrapText="1"/>
    </xf>
    <xf numFmtId="0" fontId="29" fillId="34" borderId="95" xfId="0" applyFont="1" applyFill="1" applyBorder="1" applyAlignment="1">
      <alignment horizontal="center" vertical="center" wrapText="1"/>
    </xf>
    <xf numFmtId="3" fontId="40" fillId="34" borderId="97" xfId="0" applyNumberFormat="1" applyFont="1" applyFill="1" applyBorder="1" applyAlignment="1">
      <alignment horizontal="center" vertical="center" wrapText="1"/>
    </xf>
    <xf numFmtId="3" fontId="40" fillId="34" borderId="14" xfId="0" applyNumberFormat="1" applyFont="1" applyFill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1" fillId="22" borderId="105" xfId="0" applyFont="1" applyFill="1" applyBorder="1" applyAlignment="1">
      <alignment horizontal="center" vertical="center" wrapText="1"/>
    </xf>
    <xf numFmtId="0" fontId="58" fillId="4" borderId="106" xfId="0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horizontal="center" vertical="center" wrapText="1"/>
    </xf>
    <xf numFmtId="3" fontId="44" fillId="29" borderId="100" xfId="0" applyNumberFormat="1" applyFont="1" applyFill="1" applyBorder="1" applyAlignment="1">
      <alignment horizontal="center" vertical="center"/>
    </xf>
    <xf numFmtId="0" fontId="58" fillId="4" borderId="38" xfId="0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/>
    </xf>
    <xf numFmtId="0" fontId="29" fillId="4" borderId="59" xfId="0" applyFont="1" applyFill="1" applyBorder="1" applyAlignment="1">
      <alignment/>
    </xf>
    <xf numFmtId="0" fontId="29" fillId="4" borderId="107" xfId="0" applyFont="1" applyFill="1" applyBorder="1" applyAlignment="1">
      <alignment/>
    </xf>
    <xf numFmtId="3" fontId="44" fillId="0" borderId="91" xfId="0" applyNumberFormat="1" applyFont="1" applyFill="1" applyBorder="1" applyAlignment="1">
      <alignment horizontal="center" vertical="center" wrapText="1"/>
    </xf>
    <xf numFmtId="3" fontId="44" fillId="0" borderId="82" xfId="0" applyNumberFormat="1" applyFont="1" applyBorder="1" applyAlignment="1">
      <alignment horizontal="center" vertical="center"/>
    </xf>
    <xf numFmtId="3" fontId="41" fillId="30" borderId="14" xfId="0" applyNumberFormat="1" applyFont="1" applyFill="1" applyBorder="1" applyAlignment="1">
      <alignment horizontal="center" vertical="center"/>
    </xf>
    <xf numFmtId="0" fontId="46" fillId="22" borderId="105" xfId="0" applyFont="1" applyFill="1" applyBorder="1" applyAlignment="1">
      <alignment horizontal="center" vertical="center"/>
    </xf>
    <xf numFmtId="0" fontId="41" fillId="22" borderId="108" xfId="0" applyFont="1" applyFill="1" applyBorder="1" applyAlignment="1">
      <alignment horizontal="center" vertical="center"/>
    </xf>
    <xf numFmtId="3" fontId="29" fillId="22" borderId="14" xfId="0" applyNumberFormat="1" applyFont="1" applyFill="1" applyBorder="1" applyAlignment="1">
      <alignment horizontal="center" vertical="center"/>
    </xf>
    <xf numFmtId="3" fontId="41" fillId="31" borderId="19" xfId="0" applyNumberFormat="1" applyFont="1" applyFill="1" applyBorder="1" applyAlignment="1">
      <alignment horizontal="center" vertical="center"/>
    </xf>
    <xf numFmtId="3" fontId="50" fillId="0" borderId="85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3" fontId="50" fillId="0" borderId="16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3" fontId="50" fillId="0" borderId="85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3" fontId="50" fillId="34" borderId="16" xfId="0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3" fontId="57" fillId="35" borderId="109" xfId="0" applyNumberFormat="1" applyFont="1" applyFill="1" applyBorder="1" applyAlignment="1">
      <alignment horizontal="center" vertical="center" wrapText="1"/>
    </xf>
    <xf numFmtId="3" fontId="50" fillId="0" borderId="45" xfId="0" applyNumberFormat="1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09" xfId="0" applyFont="1" applyFill="1" applyBorder="1" applyAlignment="1">
      <alignment horizontal="center" vertical="center" wrapText="1"/>
    </xf>
    <xf numFmtId="3" fontId="50" fillId="0" borderId="111" xfId="0" applyNumberFormat="1" applyFont="1" applyFill="1" applyBorder="1" applyAlignment="1">
      <alignment horizontal="center" vertical="center" wrapText="1"/>
    </xf>
    <xf numFmtId="3" fontId="50" fillId="0" borderId="109" xfId="0" applyNumberFormat="1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0" fillId="0" borderId="46" xfId="0" applyFont="1" applyFill="1" applyBorder="1" applyAlignment="1">
      <alignment horizontal="center" vertical="center" wrapText="1"/>
    </xf>
    <xf numFmtId="0" fontId="50" fillId="0" borderId="112" xfId="0" applyFont="1" applyFill="1" applyBorder="1" applyAlignment="1">
      <alignment horizontal="center" vertical="center" wrapText="1"/>
    </xf>
    <xf numFmtId="0" fontId="50" fillId="0" borderId="102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>
      <alignment horizontal="center" vertical="center" wrapText="1"/>
    </xf>
    <xf numFmtId="3" fontId="29" fillId="0" borderId="45" xfId="0" applyNumberFormat="1" applyFont="1" applyFill="1" applyBorder="1" applyAlignment="1">
      <alignment horizontal="center" vertical="center" wrapText="1"/>
    </xf>
    <xf numFmtId="3" fontId="29" fillId="0" borderId="102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wrapText="1"/>
    </xf>
    <xf numFmtId="3" fontId="29" fillId="0" borderId="102" xfId="0" applyNumberFormat="1" applyFont="1" applyBorder="1" applyAlignment="1">
      <alignment horizontal="center" vertical="center" wrapText="1"/>
    </xf>
    <xf numFmtId="3" fontId="29" fillId="0" borderId="109" xfId="0" applyNumberFormat="1" applyFont="1" applyBorder="1" applyAlignment="1">
      <alignment horizontal="center" vertical="center" wrapText="1"/>
    </xf>
    <xf numFmtId="3" fontId="29" fillId="29" borderId="19" xfId="0" applyNumberFormat="1" applyFont="1" applyFill="1" applyBorder="1" applyAlignment="1">
      <alignment horizontal="center" vertical="center" wrapText="1"/>
    </xf>
    <xf numFmtId="3" fontId="29" fillId="0" borderId="45" xfId="0" applyNumberFormat="1" applyFont="1" applyBorder="1" applyAlignment="1">
      <alignment horizontal="center" vertical="center" wrapText="1"/>
    </xf>
    <xf numFmtId="3" fontId="29" fillId="29" borderId="45" xfId="0" applyNumberFormat="1" applyFont="1" applyFill="1" applyBorder="1" applyAlignment="1">
      <alignment horizontal="center" vertical="center" wrapText="1"/>
    </xf>
    <xf numFmtId="3" fontId="29" fillId="0" borderId="113" xfId="0" applyNumberFormat="1" applyFont="1" applyBorder="1" applyAlignment="1">
      <alignment horizontal="center" vertical="center" wrapText="1"/>
    </xf>
    <xf numFmtId="0" fontId="29" fillId="29" borderId="19" xfId="0" applyFont="1" applyFill="1" applyBorder="1" applyAlignment="1">
      <alignment horizontal="center" vertical="center" wrapText="1"/>
    </xf>
    <xf numFmtId="3" fontId="40" fillId="0" borderId="114" xfId="0" applyNumberFormat="1" applyFont="1" applyBorder="1" applyAlignment="1">
      <alignment horizontal="center" vertical="center" wrapText="1"/>
    </xf>
    <xf numFmtId="3" fontId="40" fillId="0" borderId="19" xfId="0" applyNumberFormat="1" applyFont="1" applyBorder="1" applyAlignment="1">
      <alignment horizontal="center" vertical="center" wrapText="1"/>
    </xf>
    <xf numFmtId="0" fontId="29" fillId="0" borderId="104" xfId="0" applyFont="1" applyFill="1" applyBorder="1" applyAlignment="1">
      <alignment horizontal="center" vertical="center" wrapText="1"/>
    </xf>
    <xf numFmtId="3" fontId="29" fillId="0" borderId="104" xfId="0" applyNumberFormat="1" applyFont="1" applyFill="1" applyBorder="1" applyAlignment="1">
      <alignment horizontal="center" vertical="center" wrapText="1"/>
    </xf>
    <xf numFmtId="3" fontId="29" fillId="34" borderId="104" xfId="0" applyNumberFormat="1" applyFont="1" applyFill="1" applyBorder="1" applyAlignment="1">
      <alignment horizontal="center" vertical="center" wrapText="1"/>
    </xf>
    <xf numFmtId="3" fontId="29" fillId="0" borderId="115" xfId="0" applyNumberFormat="1" applyFont="1" applyFill="1" applyBorder="1" applyAlignment="1">
      <alignment horizontal="center" vertical="center" wrapText="1"/>
    </xf>
    <xf numFmtId="3" fontId="50" fillId="0" borderId="116" xfId="0" applyNumberFormat="1" applyFont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3" fontId="29" fillId="0" borderId="36" xfId="0" applyNumberFormat="1" applyFont="1" applyFill="1" applyBorder="1" applyAlignment="1">
      <alignment horizontal="center" vertical="center" wrapText="1"/>
    </xf>
    <xf numFmtId="3" fontId="29" fillId="34" borderId="36" xfId="0" applyNumberFormat="1" applyFont="1" applyFill="1" applyBorder="1" applyAlignment="1">
      <alignment horizontal="center" vertical="center" wrapText="1"/>
    </xf>
    <xf numFmtId="3" fontId="29" fillId="0" borderId="117" xfId="0" applyNumberFormat="1" applyFont="1" applyFill="1" applyBorder="1" applyAlignment="1">
      <alignment horizontal="center" vertical="center" wrapText="1"/>
    </xf>
    <xf numFmtId="3" fontId="50" fillId="0" borderId="118" xfId="0" applyNumberFormat="1" applyFont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 wrapText="1"/>
    </xf>
    <xf numFmtId="3" fontId="29" fillId="0" borderId="56" xfId="0" applyNumberFormat="1" applyFont="1" applyFill="1" applyBorder="1" applyAlignment="1">
      <alignment horizontal="center" vertical="center" wrapText="1"/>
    </xf>
    <xf numFmtId="3" fontId="29" fillId="34" borderId="56" xfId="0" applyNumberFormat="1" applyFont="1" applyFill="1" applyBorder="1" applyAlignment="1">
      <alignment horizontal="center" vertical="center" wrapText="1"/>
    </xf>
    <xf numFmtId="3" fontId="29" fillId="0" borderId="119" xfId="0" applyNumberFormat="1" applyFont="1" applyFill="1" applyBorder="1" applyAlignment="1">
      <alignment horizontal="center" vertical="center" wrapText="1"/>
    </xf>
    <xf numFmtId="3" fontId="50" fillId="0" borderId="120" xfId="0" applyNumberFormat="1" applyFont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 wrapText="1"/>
    </xf>
    <xf numFmtId="3" fontId="29" fillId="34" borderId="15" xfId="0" applyNumberFormat="1" applyFont="1" applyFill="1" applyBorder="1" applyAlignment="1">
      <alignment horizontal="center" vertical="center" wrapText="1"/>
    </xf>
    <xf numFmtId="3" fontId="50" fillId="34" borderId="15" xfId="0" applyNumberFormat="1" applyFont="1" applyFill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67" xfId="0" applyFont="1" applyFill="1" applyBorder="1" applyAlignment="1">
      <alignment horizontal="center" vertical="center" wrapText="1"/>
    </xf>
    <xf numFmtId="3" fontId="50" fillId="34" borderId="57" xfId="0" applyNumberFormat="1" applyFont="1" applyFill="1" applyBorder="1" applyAlignment="1">
      <alignment horizontal="center" vertical="center" wrapText="1"/>
    </xf>
    <xf numFmtId="3" fontId="50" fillId="0" borderId="67" xfId="0" applyNumberFormat="1" applyFont="1" applyFill="1" applyBorder="1" applyAlignment="1">
      <alignment horizontal="center" vertical="center" wrapText="1"/>
    </xf>
    <xf numFmtId="0" fontId="29" fillId="0" borderId="93" xfId="0" applyFont="1" applyFill="1" applyBorder="1" applyAlignment="1">
      <alignment horizontal="center" vertical="center"/>
    </xf>
    <xf numFmtId="0" fontId="37" fillId="0" borderId="93" xfId="0" applyFont="1" applyBorder="1" applyAlignment="1">
      <alignment vertical="center" wrapText="1"/>
    </xf>
    <xf numFmtId="0" fontId="29" fillId="0" borderId="93" xfId="0" applyFont="1" applyFill="1" applyBorder="1" applyAlignment="1">
      <alignment horizontal="center" vertical="center" wrapText="1"/>
    </xf>
    <xf numFmtId="3" fontId="29" fillId="0" borderId="93" xfId="0" applyNumberFormat="1" applyFont="1" applyFill="1" applyBorder="1" applyAlignment="1">
      <alignment horizontal="center" vertical="center" wrapText="1"/>
    </xf>
    <xf numFmtId="3" fontId="50" fillId="0" borderId="93" xfId="0" applyNumberFormat="1" applyFont="1" applyFill="1" applyBorder="1" applyAlignment="1">
      <alignment horizontal="center" vertical="center" wrapText="1"/>
    </xf>
    <xf numFmtId="166" fontId="57" fillId="28" borderId="121" xfId="0" applyNumberFormat="1" applyFont="1" applyFill="1" applyBorder="1" applyAlignment="1">
      <alignment horizontal="center" vertical="center"/>
    </xf>
    <xf numFmtId="0" fontId="57" fillId="28" borderId="122" xfId="0" applyFont="1" applyFill="1" applyBorder="1" applyAlignment="1">
      <alignment horizontal="left" vertical="center" wrapText="1"/>
    </xf>
    <xf numFmtId="0" fontId="57" fillId="28" borderId="97" xfId="0" applyFont="1" applyFill="1" applyBorder="1" applyAlignment="1">
      <alignment horizontal="center" vertical="center" wrapText="1"/>
    </xf>
    <xf numFmtId="3" fontId="54" fillId="28" borderId="97" xfId="0" applyNumberFormat="1" applyFont="1" applyFill="1" applyBorder="1" applyAlignment="1">
      <alignment horizontal="center" vertical="center" wrapText="1"/>
    </xf>
    <xf numFmtId="3" fontId="54" fillId="28" borderId="114" xfId="0" applyNumberFormat="1" applyFont="1" applyFill="1" applyBorder="1" applyAlignment="1">
      <alignment horizontal="center" vertical="center" wrapText="1"/>
    </xf>
    <xf numFmtId="3" fontId="54" fillId="28" borderId="98" xfId="0" applyNumberFormat="1" applyFont="1" applyFill="1" applyBorder="1" applyAlignment="1">
      <alignment horizontal="center" vertical="center" wrapText="1"/>
    </xf>
    <xf numFmtId="3" fontId="29" fillId="29" borderId="93" xfId="0" applyNumberFormat="1" applyFont="1" applyFill="1" applyBorder="1" applyAlignment="1">
      <alignment horizontal="center" vertical="center" wrapText="1"/>
    </xf>
    <xf numFmtId="3" fontId="50" fillId="29" borderId="93" xfId="0" applyNumberFormat="1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left" vertical="center" wrapText="1"/>
    </xf>
    <xf numFmtId="3" fontId="50" fillId="0" borderId="68" xfId="0" applyNumberFormat="1" applyFont="1" applyFill="1" applyBorder="1" applyAlignment="1">
      <alignment horizontal="center" vertical="center" wrapText="1"/>
    </xf>
    <xf numFmtId="0" fontId="50" fillId="0" borderId="68" xfId="0" applyFont="1" applyFill="1" applyBorder="1" applyAlignment="1">
      <alignment horizontal="center" vertical="center" wrapText="1"/>
    </xf>
    <xf numFmtId="2" fontId="29" fillId="0" borderId="34" xfId="0" applyNumberFormat="1" applyFont="1" applyFill="1" applyBorder="1" applyAlignment="1">
      <alignment horizontal="left" vertical="center" wrapText="1"/>
    </xf>
    <xf numFmtId="0" fontId="37" fillId="0" borderId="74" xfId="0" applyFont="1" applyBorder="1" applyAlignment="1">
      <alignment vertical="center" wrapText="1"/>
    </xf>
    <xf numFmtId="3" fontId="50" fillId="34" borderId="83" xfId="0" applyNumberFormat="1" applyFont="1" applyFill="1" applyBorder="1" applyAlignment="1">
      <alignment horizontal="center" vertical="center" wrapText="1"/>
    </xf>
    <xf numFmtId="0" fontId="50" fillId="0" borderId="111" xfId="0" applyFont="1" applyFill="1" applyBorder="1" applyAlignment="1">
      <alignment horizontal="center" vertical="center" wrapText="1"/>
    </xf>
    <xf numFmtId="3" fontId="50" fillId="0" borderId="123" xfId="0" applyNumberFormat="1" applyFont="1" applyBorder="1" applyAlignment="1">
      <alignment horizontal="center" vertical="center"/>
    </xf>
    <xf numFmtId="3" fontId="53" fillId="0" borderId="14" xfId="0" applyNumberFormat="1" applyFont="1" applyFill="1" applyBorder="1" applyAlignment="1">
      <alignment horizontal="center" vertical="center" wrapText="1"/>
    </xf>
    <xf numFmtId="3" fontId="53" fillId="34" borderId="14" xfId="0" applyNumberFormat="1" applyFont="1" applyFill="1" applyBorder="1" applyAlignment="1">
      <alignment horizontal="center" vertical="center" wrapText="1"/>
    </xf>
    <xf numFmtId="3" fontId="53" fillId="29" borderId="14" xfId="0" applyNumberFormat="1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wrapText="1"/>
    </xf>
    <xf numFmtId="3" fontId="44" fillId="29" borderId="29" xfId="0" applyNumberFormat="1" applyFont="1" applyFill="1" applyBorder="1" applyAlignment="1">
      <alignment horizontal="center" vertical="center"/>
    </xf>
    <xf numFmtId="3" fontId="41" fillId="39" borderId="21" xfId="0" applyNumberFormat="1" applyFont="1" applyFill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3" fontId="50" fillId="0" borderId="16" xfId="0" applyNumberFormat="1" applyFont="1" applyFill="1" applyBorder="1" applyAlignment="1">
      <alignment horizontal="center" vertical="center" wrapText="1"/>
    </xf>
    <xf numFmtId="3" fontId="50" fillId="0" borderId="85" xfId="0" applyNumberFormat="1" applyFont="1" applyBorder="1" applyAlignment="1">
      <alignment horizontal="center" vertical="center"/>
    </xf>
    <xf numFmtId="3" fontId="29" fillId="34" borderId="16" xfId="0" applyNumberFormat="1" applyFont="1" applyFill="1" applyBorder="1" applyAlignment="1">
      <alignment horizontal="center" vertical="center" wrapText="1"/>
    </xf>
    <xf numFmtId="3" fontId="55" fillId="0" borderId="16" xfId="0" applyNumberFormat="1" applyFont="1" applyFill="1" applyBorder="1" applyAlignment="1">
      <alignment horizontal="center" vertical="center" wrapText="1"/>
    </xf>
    <xf numFmtId="3" fontId="55" fillId="0" borderId="82" xfId="0" applyNumberFormat="1" applyFont="1" applyFill="1" applyBorder="1" applyAlignment="1">
      <alignment horizontal="center" vertical="center" wrapText="1"/>
    </xf>
    <xf numFmtId="3" fontId="29" fillId="0" borderId="95" xfId="0" applyNumberFormat="1" applyFont="1" applyFill="1" applyBorder="1" applyAlignment="1">
      <alignment horizontal="center" vertical="center" wrapText="1"/>
    </xf>
    <xf numFmtId="3" fontId="50" fillId="0" borderId="95" xfId="0" applyNumberFormat="1" applyFont="1" applyFill="1" applyBorder="1" applyAlignment="1">
      <alignment horizontal="center" vertical="center" wrapText="1"/>
    </xf>
    <xf numFmtId="0" fontId="37" fillId="0" borderId="124" xfId="0" applyFont="1" applyFill="1" applyBorder="1" applyAlignment="1">
      <alignment horizontal="center" vertical="center"/>
    </xf>
    <xf numFmtId="0" fontId="37" fillId="0" borderId="125" xfId="0" applyFont="1" applyBorder="1" applyAlignment="1">
      <alignment horizontal="left" vertical="center" wrapText="1"/>
    </xf>
    <xf numFmtId="3" fontId="29" fillId="0" borderId="113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3" fontId="50" fillId="0" borderId="97" xfId="0" applyNumberFormat="1" applyFont="1" applyFill="1" applyBorder="1" applyAlignment="1">
      <alignment horizontal="center" vertical="center" wrapText="1"/>
    </xf>
    <xf numFmtId="3" fontId="50" fillId="34" borderId="97" xfId="0" applyNumberFormat="1" applyFont="1" applyFill="1" applyBorder="1" applyAlignment="1">
      <alignment horizontal="center" vertical="center" wrapText="1"/>
    </xf>
    <xf numFmtId="3" fontId="50" fillId="0" borderId="114" xfId="0" applyNumberFormat="1" applyFont="1" applyFill="1" applyBorder="1" applyAlignment="1">
      <alignment horizontal="center" vertical="center" wrapText="1"/>
    </xf>
    <xf numFmtId="3" fontId="50" fillId="0" borderId="98" xfId="0" applyNumberFormat="1" applyFont="1" applyFill="1" applyBorder="1" applyAlignment="1">
      <alignment horizontal="center" vertical="center" wrapText="1"/>
    </xf>
    <xf numFmtId="0" fontId="29" fillId="0" borderId="121" xfId="0" applyFont="1" applyBorder="1" applyAlignment="1">
      <alignment horizontal="center" vertical="center"/>
    </xf>
    <xf numFmtId="0" fontId="29" fillId="0" borderId="122" xfId="0" applyFont="1" applyBorder="1" applyAlignment="1">
      <alignment horizontal="left" vertical="center" wrapText="1"/>
    </xf>
    <xf numFmtId="0" fontId="29" fillId="0" borderId="97" xfId="0" applyFont="1" applyFill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3" fontId="29" fillId="0" borderId="97" xfId="0" applyNumberFormat="1" applyFont="1" applyBorder="1" applyAlignment="1">
      <alignment horizontal="center" vertical="center" wrapText="1"/>
    </xf>
    <xf numFmtId="3" fontId="29" fillId="34" borderId="97" xfId="0" applyNumberFormat="1" applyFont="1" applyFill="1" applyBorder="1" applyAlignment="1">
      <alignment horizontal="center" vertical="center" wrapText="1"/>
    </xf>
    <xf numFmtId="0" fontId="29" fillId="34" borderId="97" xfId="0" applyFont="1" applyFill="1" applyBorder="1" applyAlignment="1">
      <alignment horizontal="center" vertical="center" wrapText="1"/>
    </xf>
    <xf numFmtId="0" fontId="29" fillId="29" borderId="97" xfId="0" applyFont="1" applyFill="1" applyBorder="1" applyAlignment="1">
      <alignment horizontal="center" vertical="center" wrapText="1"/>
    </xf>
    <xf numFmtId="3" fontId="29" fillId="29" borderId="97" xfId="0" applyNumberFormat="1" applyFont="1" applyFill="1" applyBorder="1" applyAlignment="1">
      <alignment horizontal="center" vertical="center" wrapText="1"/>
    </xf>
    <xf numFmtId="3" fontId="29" fillId="0" borderId="114" xfId="0" applyNumberFormat="1" applyFont="1" applyBorder="1" applyAlignment="1">
      <alignment horizontal="center" vertical="center" wrapText="1"/>
    </xf>
    <xf numFmtId="3" fontId="50" fillId="0" borderId="98" xfId="0" applyNumberFormat="1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9" fillId="0" borderId="93" xfId="0" applyFont="1" applyBorder="1" applyAlignment="1">
      <alignment horizontal="left" vertical="center" wrapText="1"/>
    </xf>
    <xf numFmtId="0" fontId="29" fillId="0" borderId="93" xfId="0" applyFont="1" applyBorder="1" applyAlignment="1">
      <alignment horizontal="center" vertical="center" wrapText="1"/>
    </xf>
    <xf numFmtId="3" fontId="29" fillId="0" borderId="93" xfId="0" applyNumberFormat="1" applyFont="1" applyBorder="1" applyAlignment="1">
      <alignment horizontal="center" vertical="center" wrapText="1"/>
    </xf>
    <xf numFmtId="0" fontId="29" fillId="29" borderId="9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29" borderId="0" xfId="0" applyFont="1" applyFill="1" applyBorder="1" applyAlignment="1">
      <alignment horizontal="center" vertical="center" wrapText="1"/>
    </xf>
    <xf numFmtId="3" fontId="29" fillId="29" borderId="0" xfId="0" applyNumberFormat="1" applyFont="1" applyFill="1" applyBorder="1" applyAlignment="1">
      <alignment horizontal="center" vertical="center" wrapText="1"/>
    </xf>
    <xf numFmtId="0" fontId="37" fillId="0" borderId="126" xfId="0" applyFont="1" applyBorder="1" applyAlignment="1">
      <alignment vertical="center" wrapText="1"/>
    </xf>
    <xf numFmtId="3" fontId="50" fillId="0" borderId="113" xfId="0" applyNumberFormat="1" applyFont="1" applyFill="1" applyBorder="1" applyAlignment="1">
      <alignment horizontal="center" vertical="center" wrapText="1"/>
    </xf>
    <xf numFmtId="0" fontId="37" fillId="0" borderId="97" xfId="0" applyFont="1" applyBorder="1" applyAlignment="1">
      <alignment horizontal="left" vertical="center" wrapText="1"/>
    </xf>
    <xf numFmtId="3" fontId="29" fillId="0" borderId="97" xfId="0" applyNumberFormat="1" applyFont="1" applyFill="1" applyBorder="1" applyAlignment="1">
      <alignment horizontal="center" vertical="center" wrapText="1"/>
    </xf>
    <xf numFmtId="3" fontId="29" fillId="0" borderId="114" xfId="0" applyNumberFormat="1" applyFont="1" applyFill="1" applyBorder="1" applyAlignment="1">
      <alignment horizontal="center" vertical="center" wrapText="1"/>
    </xf>
    <xf numFmtId="0" fontId="37" fillId="0" borderId="124" xfId="0" applyFont="1" applyBorder="1" applyAlignment="1">
      <alignment vertical="center" wrapText="1"/>
    </xf>
    <xf numFmtId="0" fontId="37" fillId="0" borderId="82" xfId="0" applyFont="1" applyBorder="1" applyAlignment="1">
      <alignment horizontal="left" vertical="center" wrapText="1"/>
    </xf>
    <xf numFmtId="3" fontId="50" fillId="0" borderId="102" xfId="0" applyNumberFormat="1" applyFont="1" applyFill="1" applyBorder="1" applyAlignment="1">
      <alignment horizontal="center" vertical="center" wrapText="1"/>
    </xf>
    <xf numFmtId="4" fontId="41" fillId="31" borderId="30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26" borderId="53" xfId="0" applyFill="1" applyBorder="1" applyAlignment="1">
      <alignment/>
    </xf>
    <xf numFmtId="0" fontId="0" fillId="26" borderId="54" xfId="0" applyFill="1" applyBorder="1" applyAlignment="1">
      <alignment/>
    </xf>
    <xf numFmtId="0" fontId="0" fillId="0" borderId="60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60" xfId="0" applyBorder="1" applyAlignment="1">
      <alignment vertical="center"/>
    </xf>
    <xf numFmtId="0" fontId="0" fillId="0" borderId="74" xfId="0" applyBorder="1" applyAlignment="1">
      <alignment vertical="center"/>
    </xf>
    <xf numFmtId="164" fontId="19" fillId="0" borderId="127" xfId="0" applyNumberFormat="1" applyFont="1" applyBorder="1" applyAlignment="1">
      <alignment horizontal="center" vertical="top" wrapText="1"/>
    </xf>
    <xf numFmtId="0" fontId="0" fillId="0" borderId="106" xfId="0" applyBorder="1" applyAlignment="1">
      <alignment horizontal="center" vertical="top" wrapText="1"/>
    </xf>
    <xf numFmtId="0" fontId="0" fillId="0" borderId="128" xfId="0" applyBorder="1" applyAlignment="1">
      <alignment horizontal="center" vertical="top" wrapText="1"/>
    </xf>
    <xf numFmtId="0" fontId="41" fillId="2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1" fillId="30" borderId="14" xfId="0" applyFont="1" applyFill="1" applyBorder="1" applyAlignment="1">
      <alignment horizontal="center" vertical="center"/>
    </xf>
    <xf numFmtId="0" fontId="41" fillId="2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1" fillId="22" borderId="129" xfId="0" applyFont="1" applyFill="1" applyBorder="1" applyAlignment="1">
      <alignment horizontal="center" vertical="center"/>
    </xf>
    <xf numFmtId="0" fontId="41" fillId="22" borderId="26" xfId="0" applyFont="1" applyFill="1" applyBorder="1" applyAlignment="1">
      <alignment horizontal="center" vertical="center"/>
    </xf>
    <xf numFmtId="0" fontId="41" fillId="22" borderId="130" xfId="0" applyFont="1" applyFill="1" applyBorder="1" applyAlignment="1">
      <alignment horizontal="center" vertical="center"/>
    </xf>
    <xf numFmtId="0" fontId="41" fillId="30" borderId="14" xfId="0" applyFont="1" applyFill="1" applyBorder="1" applyAlignment="1">
      <alignment horizontal="center" vertical="center" wrapText="1"/>
    </xf>
    <xf numFmtId="0" fontId="41" fillId="30" borderId="30" xfId="0" applyFont="1" applyFill="1" applyBorder="1" applyAlignment="1">
      <alignment horizontal="center" vertical="center" wrapText="1"/>
    </xf>
    <xf numFmtId="0" fontId="41" fillId="22" borderId="131" xfId="0" applyFont="1" applyFill="1" applyBorder="1" applyAlignment="1">
      <alignment horizontal="center" vertical="center"/>
    </xf>
    <xf numFmtId="0" fontId="41" fillId="22" borderId="29" xfId="0" applyFont="1" applyFill="1" applyBorder="1" applyAlignment="1">
      <alignment horizontal="center" vertical="center"/>
    </xf>
    <xf numFmtId="0" fontId="41" fillId="32" borderId="132" xfId="0" applyFont="1" applyFill="1" applyBorder="1" applyAlignment="1">
      <alignment horizontal="center" vertical="center"/>
    </xf>
    <xf numFmtId="0" fontId="41" fillId="32" borderId="21" xfId="0" applyFont="1" applyFill="1" applyBorder="1" applyAlignment="1">
      <alignment horizontal="center" vertical="center"/>
    </xf>
    <xf numFmtId="0" fontId="41" fillId="22" borderId="133" xfId="0" applyFont="1" applyFill="1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0" fontId="41" fillId="22" borderId="28" xfId="0" applyFont="1" applyFill="1" applyBorder="1" applyAlignment="1">
      <alignment horizontal="center" vertical="center"/>
    </xf>
    <xf numFmtId="0" fontId="41" fillId="22" borderId="13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textRotation="90"/>
    </xf>
    <xf numFmtId="0" fontId="41" fillId="22" borderId="137" xfId="0" applyFont="1" applyFill="1" applyBorder="1" applyAlignment="1">
      <alignment horizontal="center" vertical="center" wrapText="1"/>
    </xf>
    <xf numFmtId="0" fontId="41" fillId="22" borderId="138" xfId="0" applyFont="1" applyFill="1" applyBorder="1" applyAlignment="1">
      <alignment horizontal="center" vertical="center" wrapText="1"/>
    </xf>
    <xf numFmtId="0" fontId="41" fillId="22" borderId="0" xfId="0" applyFont="1" applyFill="1" applyBorder="1" applyAlignment="1">
      <alignment horizontal="center" vertical="center" wrapText="1"/>
    </xf>
    <xf numFmtId="0" fontId="41" fillId="22" borderId="139" xfId="0" applyFont="1" applyFill="1" applyBorder="1" applyAlignment="1">
      <alignment horizontal="center" vertical="center" wrapText="1"/>
    </xf>
    <xf numFmtId="0" fontId="41" fillId="22" borderId="106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44" fillId="0" borderId="61" xfId="0" applyFont="1" applyBorder="1" applyAlignment="1">
      <alignment vertical="center"/>
    </xf>
    <xf numFmtId="0" fontId="41" fillId="0" borderId="14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textRotation="90" wrapText="1"/>
    </xf>
    <xf numFmtId="0" fontId="44" fillId="0" borderId="140" xfId="0" applyFont="1" applyFill="1" applyBorder="1" applyAlignment="1">
      <alignment horizontal="center" vertical="center" textRotation="90" wrapText="1"/>
    </xf>
    <xf numFmtId="0" fontId="44" fillId="0" borderId="141" xfId="0" applyFont="1" applyFill="1" applyBorder="1" applyAlignment="1">
      <alignment horizontal="center" vertical="center" textRotation="90" wrapText="1"/>
    </xf>
    <xf numFmtId="0" fontId="44" fillId="0" borderId="22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textRotation="90" wrapText="1"/>
    </xf>
    <xf numFmtId="0" fontId="41" fillId="22" borderId="70" xfId="0" applyFont="1" applyFill="1" applyBorder="1" applyAlignment="1">
      <alignment horizontal="center" vertical="center" wrapText="1"/>
    </xf>
    <xf numFmtId="0" fontId="41" fillId="22" borderId="108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 wrapText="1"/>
    </xf>
    <xf numFmtId="0" fontId="41" fillId="0" borderId="6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0" fontId="44" fillId="0" borderId="61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textRotation="90"/>
    </xf>
    <xf numFmtId="0" fontId="41" fillId="22" borderId="13" xfId="0" applyFont="1" applyFill="1" applyBorder="1" applyAlignment="1">
      <alignment horizontal="left" vertical="center" wrapText="1"/>
    </xf>
    <xf numFmtId="0" fontId="41" fillId="22" borderId="22" xfId="0" applyFont="1" applyFill="1" applyBorder="1" applyAlignment="1">
      <alignment horizontal="left" vertical="center" wrapText="1"/>
    </xf>
    <xf numFmtId="0" fontId="41" fillId="22" borderId="70" xfId="0" applyFont="1" applyFill="1" applyBorder="1" applyAlignment="1">
      <alignment horizontal="center" vertical="center"/>
    </xf>
    <xf numFmtId="0" fontId="41" fillId="22" borderId="105" xfId="0" applyFont="1" applyFill="1" applyBorder="1" applyAlignment="1">
      <alignment horizontal="center" vertical="center" wrapText="1"/>
    </xf>
    <xf numFmtId="0" fontId="41" fillId="22" borderId="142" xfId="0" applyFont="1" applyFill="1" applyBorder="1" applyAlignment="1">
      <alignment horizontal="center" vertical="center" wrapText="1"/>
    </xf>
    <xf numFmtId="0" fontId="41" fillId="22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58" fillId="4" borderId="62" xfId="0" applyFont="1" applyFill="1" applyBorder="1" applyAlignment="1">
      <alignment horizontal="center" vertical="center" wrapText="1"/>
    </xf>
    <xf numFmtId="0" fontId="58" fillId="4" borderId="144" xfId="0" applyFont="1" applyFill="1" applyBorder="1" applyAlignment="1">
      <alignment horizontal="center" vertical="center" wrapText="1"/>
    </xf>
    <xf numFmtId="0" fontId="58" fillId="4" borderId="117" xfId="0" applyFont="1" applyFill="1" applyBorder="1" applyAlignment="1">
      <alignment horizontal="center" vertical="center" wrapText="1"/>
    </xf>
    <xf numFmtId="0" fontId="58" fillId="4" borderId="10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33" xfId="0" applyFont="1" applyFill="1" applyBorder="1" applyAlignment="1">
      <alignment horizontal="left" vertical="center" wrapText="1"/>
    </xf>
    <xf numFmtId="0" fontId="41" fillId="30" borderId="45" xfId="0" applyFont="1" applyFill="1" applyBorder="1" applyAlignment="1">
      <alignment horizontal="center" vertical="center" wrapText="1"/>
    </xf>
    <xf numFmtId="0" fontId="41" fillId="30" borderId="109" xfId="0" applyFont="1" applyFill="1" applyBorder="1" applyAlignment="1">
      <alignment horizontal="center" vertical="center" wrapText="1"/>
    </xf>
    <xf numFmtId="0" fontId="46" fillId="22" borderId="11" xfId="0" applyFont="1" applyFill="1" applyBorder="1" applyAlignment="1">
      <alignment horizontal="center" vertical="center"/>
    </xf>
    <xf numFmtId="0" fontId="46" fillId="22" borderId="44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58" fillId="4" borderId="106" xfId="0" applyFont="1" applyFill="1" applyBorder="1" applyAlignment="1">
      <alignment horizontal="center" vertical="top"/>
    </xf>
    <xf numFmtId="0" fontId="41" fillId="22" borderId="10" xfId="0" applyFont="1" applyFill="1" applyBorder="1" applyAlignment="1">
      <alignment horizontal="center" vertical="center"/>
    </xf>
    <xf numFmtId="0" fontId="41" fillId="22" borderId="108" xfId="0" applyFont="1" applyFill="1" applyBorder="1" applyAlignment="1">
      <alignment horizontal="center" vertical="center"/>
    </xf>
    <xf numFmtId="0" fontId="41" fillId="22" borderId="105" xfId="0" applyFont="1" applyFill="1" applyBorder="1" applyAlignment="1">
      <alignment horizontal="center" vertical="center"/>
    </xf>
    <xf numFmtId="0" fontId="41" fillId="22" borderId="142" xfId="0" applyFont="1" applyFill="1" applyBorder="1" applyAlignment="1">
      <alignment horizontal="center" vertical="center"/>
    </xf>
    <xf numFmtId="0" fontId="46" fillId="22" borderId="108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29" fillId="0" borderId="145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37" fillId="0" borderId="146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57" xfId="0" applyBorder="1" applyAlignment="1">
      <alignment vertical="center"/>
    </xf>
    <xf numFmtId="0" fontId="29" fillId="0" borderId="146" xfId="0" applyFont="1" applyFill="1" applyBorder="1" applyAlignment="1">
      <alignment horizontal="center" vertical="center" wrapText="1"/>
    </xf>
    <xf numFmtId="3" fontId="50" fillId="0" borderId="114" xfId="0" applyNumberFormat="1" applyFont="1" applyFill="1" applyBorder="1" applyAlignment="1">
      <alignment horizontal="center" vertical="center" wrapText="1"/>
    </xf>
    <xf numFmtId="0" fontId="24" fillId="0" borderId="147" xfId="0" applyFont="1" applyBorder="1" applyAlignment="1">
      <alignment horizontal="center" vertical="center" wrapText="1"/>
    </xf>
    <xf numFmtId="0" fontId="24" fillId="0" borderId="122" xfId="0" applyFont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57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0" fillId="0" borderId="83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9" fillId="0" borderId="14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9" fillId="0" borderId="146" xfId="0" applyFont="1" applyBorder="1" applyAlignment="1">
      <alignment horizontal="center" vertical="center" wrapText="1"/>
    </xf>
    <xf numFmtId="0" fontId="0" fillId="0" borderId="78" xfId="0" applyBorder="1" applyAlignment="1">
      <alignment vertical="center"/>
    </xf>
    <xf numFmtId="0" fontId="0" fillId="0" borderId="81" xfId="0" applyBorder="1" applyAlignment="1">
      <alignment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59" fillId="40" borderId="16" xfId="0" applyFont="1" applyFill="1" applyBorder="1" applyAlignment="1">
      <alignment horizontal="center" vertical="center" wrapText="1"/>
    </xf>
    <xf numFmtId="0" fontId="27" fillId="37" borderId="36" xfId="0" applyFont="1" applyFill="1" applyBorder="1" applyAlignment="1">
      <alignment horizontal="center" vertical="center"/>
    </xf>
    <xf numFmtId="0" fontId="59" fillId="40" borderId="148" xfId="0" applyFont="1" applyFill="1" applyBorder="1" applyAlignment="1">
      <alignment horizontal="center" vertical="center" wrapText="1"/>
    </xf>
    <xf numFmtId="0" fontId="59" fillId="40" borderId="120" xfId="0" applyFont="1" applyFill="1" applyBorder="1" applyAlignment="1">
      <alignment horizontal="center" vertical="center" wrapText="1"/>
    </xf>
    <xf numFmtId="0" fontId="55" fillId="37" borderId="120" xfId="0" applyFont="1" applyFill="1" applyBorder="1" applyAlignment="1">
      <alignment horizontal="center" vertical="center" wrapText="1"/>
    </xf>
    <xf numFmtId="0" fontId="27" fillId="37" borderId="1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57" fillId="28" borderId="97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center" wrapText="1"/>
    </xf>
    <xf numFmtId="3" fontId="53" fillId="0" borderId="19" xfId="0" applyNumberFormat="1" applyFont="1" applyFill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40" fillId="40" borderId="1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0" fillId="27" borderId="16" xfId="0" applyFont="1" applyFill="1" applyBorder="1" applyAlignment="1">
      <alignment horizontal="center" vertical="center" wrapText="1"/>
    </xf>
    <xf numFmtId="0" fontId="57" fillId="28" borderId="14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0" fillId="40" borderId="15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3" fontId="50" fillId="0" borderId="16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59" fillId="40" borderId="86" xfId="0" applyFont="1" applyFill="1" applyBorder="1" applyAlignment="1">
      <alignment horizontal="center" vertical="center"/>
    </xf>
    <xf numFmtId="0" fontId="59" fillId="40" borderId="78" xfId="0" applyFont="1" applyFill="1" applyBorder="1" applyAlignment="1">
      <alignment horizontal="center" vertical="center"/>
    </xf>
    <xf numFmtId="0" fontId="55" fillId="37" borderId="78" xfId="0" applyFont="1" applyFill="1" applyBorder="1" applyAlignment="1">
      <alignment horizontal="center" vertical="center"/>
    </xf>
    <xf numFmtId="0" fontId="27" fillId="37" borderId="88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59" fillId="40" borderId="56" xfId="0" applyFont="1" applyFill="1" applyBorder="1" applyAlignment="1">
      <alignment horizontal="center" vertical="center" wrapText="1"/>
    </xf>
    <xf numFmtId="0" fontId="59" fillId="40" borderId="15" xfId="0" applyFont="1" applyFill="1" applyBorder="1" applyAlignment="1">
      <alignment horizontal="center" vertical="center" wrapText="1"/>
    </xf>
    <xf numFmtId="0" fontId="55" fillId="37" borderId="15" xfId="0" applyFont="1" applyFill="1" applyBorder="1" applyAlignment="1">
      <alignment horizontal="center" vertical="center" wrapText="1"/>
    </xf>
    <xf numFmtId="0" fontId="59" fillId="40" borderId="56" xfId="0" applyFont="1" applyFill="1" applyBorder="1" applyAlignment="1">
      <alignment horizontal="center" vertical="center"/>
    </xf>
    <xf numFmtId="0" fontId="59" fillId="40" borderId="15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60" fillId="40" borderId="56" xfId="0" applyFont="1" applyFill="1" applyBorder="1" applyAlignment="1">
      <alignment horizontal="center" vertical="center" wrapText="1"/>
    </xf>
    <xf numFmtId="0" fontId="60" fillId="40" borderId="15" xfId="0" applyFont="1" applyFill="1" applyBorder="1" applyAlignment="1">
      <alignment horizontal="center" vertical="center" wrapText="1"/>
    </xf>
    <xf numFmtId="0" fontId="28" fillId="37" borderId="15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/>
    </xf>
    <xf numFmtId="0" fontId="40" fillId="40" borderId="119" xfId="0" applyFont="1" applyFill="1" applyBorder="1" applyAlignment="1">
      <alignment horizontal="center" vertical="center" wrapText="1"/>
    </xf>
    <xf numFmtId="0" fontId="40" fillId="40" borderId="18" xfId="0" applyFont="1" applyFill="1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47" fillId="41" borderId="150" xfId="0" applyFont="1" applyFill="1" applyBorder="1" applyAlignment="1">
      <alignment horizontal="center" vertical="center"/>
    </xf>
    <xf numFmtId="0" fontId="47" fillId="41" borderId="151" xfId="0" applyFont="1" applyFill="1" applyBorder="1" applyAlignment="1">
      <alignment horizontal="center" vertical="center"/>
    </xf>
    <xf numFmtId="0" fontId="47" fillId="41" borderId="152" xfId="0" applyFont="1" applyFill="1" applyBorder="1" applyAlignment="1">
      <alignment horizontal="center" vertical="center"/>
    </xf>
    <xf numFmtId="0" fontId="47" fillId="41" borderId="153" xfId="0" applyFont="1" applyFill="1" applyBorder="1" applyAlignment="1">
      <alignment horizontal="center" vertical="center"/>
    </xf>
    <xf numFmtId="0" fontId="47" fillId="41" borderId="154" xfId="0" applyFont="1" applyFill="1" applyBorder="1" applyAlignment="1">
      <alignment horizontal="center" vertical="center"/>
    </xf>
    <xf numFmtId="0" fontId="47" fillId="41" borderId="130" xfId="0" applyFont="1" applyFill="1" applyBorder="1" applyAlignment="1">
      <alignment horizontal="center" vertical="center"/>
    </xf>
    <xf numFmtId="0" fontId="47" fillId="41" borderId="139" xfId="0" applyFont="1" applyFill="1" applyBorder="1" applyAlignment="1">
      <alignment horizontal="center" vertical="center"/>
    </xf>
    <xf numFmtId="0" fontId="47" fillId="41" borderId="155" xfId="0" applyFont="1" applyFill="1" applyBorder="1" applyAlignment="1">
      <alignment horizontal="center" vertical="center"/>
    </xf>
    <xf numFmtId="0" fontId="59" fillId="40" borderId="28" xfId="0" applyFont="1" applyFill="1" applyBorder="1" applyAlignment="1">
      <alignment horizontal="center" vertical="center" wrapText="1"/>
    </xf>
    <xf numFmtId="0" fontId="55" fillId="37" borderId="14" xfId="0" applyFont="1" applyFill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29" fillId="0" borderId="57" xfId="0" applyFont="1" applyFill="1" applyBorder="1" applyAlignment="1">
      <alignment horizontal="center" vertical="center" wrapText="1"/>
    </xf>
    <xf numFmtId="3" fontId="50" fillId="0" borderId="85" xfId="0" applyNumberFormat="1" applyFon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3" fontId="29" fillId="34" borderId="16" xfId="0" applyNumberFormat="1" applyFont="1" applyFill="1" applyBorder="1" applyAlignment="1">
      <alignment horizontal="center" vertical="center" wrapText="1"/>
    </xf>
    <xf numFmtId="3" fontId="50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UROPA\Moje%20dokumenty\Monika\Bud&#380;et%20Gminy%202013\Bud&#380;et%202013%20proj%20w&#322;a&#347;ciwy\UCHWALA_2013_WPF\UCHW_2013_Zal_1_2_3_WPF_PROGN_WYK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dyt "/>
      <sheetName val="spł poż"/>
      <sheetName val="spł obligacji"/>
      <sheetName val="Arkusz5"/>
      <sheetName val="WPF"/>
      <sheetName val="Prognoza długu"/>
      <sheetName val="Wykaz przedsięwzięć"/>
    </sheetNames>
    <sheetDataSet>
      <sheetData sheetId="4">
        <row r="13">
          <cell r="D13">
            <v>81699693</v>
          </cell>
        </row>
        <row r="14">
          <cell r="D14">
            <v>80665439</v>
          </cell>
        </row>
        <row r="15">
          <cell r="D15">
            <v>1034254</v>
          </cell>
        </row>
        <row r="16">
          <cell r="D16">
            <v>197354</v>
          </cell>
        </row>
        <row r="17">
          <cell r="D17">
            <v>71551205</v>
          </cell>
        </row>
        <row r="24">
          <cell r="D24">
            <v>3719761</v>
          </cell>
        </row>
        <row r="28">
          <cell r="D28">
            <v>4502192</v>
          </cell>
        </row>
        <row r="29">
          <cell r="D29">
            <v>3463314</v>
          </cell>
        </row>
        <row r="33">
          <cell r="D33">
            <v>1038878</v>
          </cell>
        </row>
        <row r="34">
          <cell r="D34">
            <v>0</v>
          </cell>
        </row>
        <row r="36">
          <cell r="D36">
            <v>33260582</v>
          </cell>
        </row>
        <row r="52">
          <cell r="D52">
            <v>25140000</v>
          </cell>
        </row>
      </sheetData>
      <sheetData sheetId="5">
        <row r="10">
          <cell r="C10">
            <v>45737732</v>
          </cell>
        </row>
        <row r="24">
          <cell r="C24">
            <v>105850665</v>
          </cell>
        </row>
        <row r="25">
          <cell r="C25">
            <v>72590083</v>
          </cell>
        </row>
        <row r="46">
          <cell r="C46">
            <v>28859761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">
      <selection activeCell="J12" sqref="J12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690" t="s">
        <v>219</v>
      </c>
      <c r="B1" s="690"/>
      <c r="C1" s="690"/>
      <c r="D1" s="690"/>
      <c r="E1" s="690"/>
      <c r="F1" s="690"/>
      <c r="G1" s="690"/>
    </row>
    <row r="2" spans="1:11" ht="21.75" customHeight="1" thickBot="1">
      <c r="A2" s="340" t="s">
        <v>0</v>
      </c>
      <c r="B2" s="341"/>
      <c r="C2" s="342" t="s">
        <v>1</v>
      </c>
      <c r="D2" s="342" t="s">
        <v>2</v>
      </c>
      <c r="E2" s="343" t="s">
        <v>3</v>
      </c>
      <c r="F2" s="342" t="s">
        <v>4</v>
      </c>
      <c r="G2" s="344" t="s">
        <v>5</v>
      </c>
      <c r="H2" s="345" t="s">
        <v>213</v>
      </c>
      <c r="I2" s="346" t="s">
        <v>3</v>
      </c>
      <c r="J2" s="347" t="s">
        <v>215</v>
      </c>
      <c r="K2" s="347" t="s">
        <v>3</v>
      </c>
    </row>
    <row r="3" spans="1:11" ht="12.75">
      <c r="A3" s="348" t="s">
        <v>6</v>
      </c>
      <c r="B3" s="349">
        <v>90</v>
      </c>
      <c r="C3" s="350">
        <v>0</v>
      </c>
      <c r="D3" s="12">
        <v>0</v>
      </c>
      <c r="E3" s="13">
        <v>0</v>
      </c>
      <c r="F3" s="13">
        <v>0</v>
      </c>
      <c r="G3" s="210"/>
      <c r="H3" s="351">
        <v>2141585</v>
      </c>
      <c r="I3" s="352">
        <v>733601</v>
      </c>
      <c r="J3" s="353">
        <f>H3+'spł poż'!F8</f>
        <v>2191585</v>
      </c>
      <c r="K3" s="353">
        <f>I3+'spł poż'!G8</f>
        <v>907289</v>
      </c>
    </row>
    <row r="4" spans="1:11" ht="0.75" customHeight="1" thickBot="1">
      <c r="A4" s="354" t="s">
        <v>7</v>
      </c>
      <c r="B4" s="355">
        <v>90</v>
      </c>
      <c r="C4" s="356">
        <f>C3</f>
        <v>0</v>
      </c>
      <c r="D4" s="12">
        <v>0</v>
      </c>
      <c r="E4" s="170">
        <f>B4*C4*5.5%/360</f>
        <v>0</v>
      </c>
      <c r="F4" s="170">
        <v>0</v>
      </c>
      <c r="G4" s="211">
        <f>E3+E4</f>
        <v>0</v>
      </c>
      <c r="H4" s="357"/>
      <c r="I4" s="358"/>
      <c r="J4" s="359"/>
      <c r="K4" s="359"/>
    </row>
    <row r="5" spans="1:36" s="2" customFormat="1" ht="12.75">
      <c r="A5" s="360" t="s">
        <v>8</v>
      </c>
      <c r="B5" s="361">
        <v>90</v>
      </c>
      <c r="C5" s="174">
        <f>C4-D4</f>
        <v>0</v>
      </c>
      <c r="D5" s="174">
        <v>0</v>
      </c>
      <c r="E5" s="175">
        <f>B5*C5*5.5%/360</f>
        <v>0</v>
      </c>
      <c r="F5" s="175"/>
      <c r="G5" s="212"/>
      <c r="H5" s="235"/>
      <c r="I5" s="236"/>
      <c r="J5" s="227"/>
      <c r="K5" s="227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62" t="s">
        <v>9</v>
      </c>
      <c r="B6" s="363">
        <v>90</v>
      </c>
      <c r="C6" s="179">
        <f>C5-D5</f>
        <v>0</v>
      </c>
      <c r="D6" s="179">
        <v>0</v>
      </c>
      <c r="E6" s="180">
        <f>B6*C6*5.5%/360</f>
        <v>0</v>
      </c>
      <c r="F6" s="180"/>
      <c r="G6" s="213"/>
      <c r="H6" s="357"/>
      <c r="I6" s="358"/>
      <c r="J6" s="364"/>
      <c r="K6" s="364"/>
    </row>
    <row r="7" spans="1:11" ht="12.75">
      <c r="A7" s="362" t="s">
        <v>10</v>
      </c>
      <c r="B7" s="363">
        <v>90</v>
      </c>
      <c r="C7" s="179">
        <v>10000000</v>
      </c>
      <c r="D7" s="179">
        <v>0</v>
      </c>
      <c r="E7" s="180">
        <f>B7*C7*7%/360</f>
        <v>175000.00000000003</v>
      </c>
      <c r="F7" s="180"/>
      <c r="G7" s="213"/>
      <c r="H7" s="357"/>
      <c r="I7" s="358"/>
      <c r="J7" s="364"/>
      <c r="K7" s="364"/>
    </row>
    <row r="8" spans="1:11" ht="13.5" thickBot="1">
      <c r="A8" s="365" t="s">
        <v>11</v>
      </c>
      <c r="B8" s="366">
        <v>90</v>
      </c>
      <c r="C8" s="184">
        <v>10000000</v>
      </c>
      <c r="D8" s="184">
        <v>0</v>
      </c>
      <c r="E8" s="180">
        <f>B8*C8*7%/360</f>
        <v>175000.00000000003</v>
      </c>
      <c r="F8" s="185">
        <f>D6+D7+D8</f>
        <v>0</v>
      </c>
      <c r="G8" s="214">
        <f>SUM(E5:E8)</f>
        <v>350000.00000000006</v>
      </c>
      <c r="H8" s="367">
        <v>3485040</v>
      </c>
      <c r="I8" s="368">
        <v>697952</v>
      </c>
      <c r="J8" s="369">
        <f>H8+F8+'spł poż'!F8</f>
        <v>3535040</v>
      </c>
      <c r="K8" s="369">
        <f>I8+G8+'spł poż'!G8</f>
        <v>1221640</v>
      </c>
    </row>
    <row r="9" spans="1:11" ht="12.75">
      <c r="A9" s="360" t="s">
        <v>12</v>
      </c>
      <c r="B9" s="361">
        <v>90</v>
      </c>
      <c r="C9" s="174">
        <f>C8-D8</f>
        <v>10000000</v>
      </c>
      <c r="D9" s="174"/>
      <c r="E9" s="175">
        <f>B9*C9*0.07/360</f>
        <v>175000.00000000003</v>
      </c>
      <c r="F9" s="175"/>
      <c r="G9" s="212"/>
      <c r="H9" s="357"/>
      <c r="I9" s="358"/>
      <c r="J9" s="370">
        <f>H9+F9+'spł poż'!F9</f>
        <v>0</v>
      </c>
      <c r="K9" s="370">
        <f>I9+G9+'spł poż'!G9</f>
        <v>0</v>
      </c>
    </row>
    <row r="10" spans="1:11" ht="12.75">
      <c r="A10" s="362" t="s">
        <v>13</v>
      </c>
      <c r="B10" s="363">
        <v>90</v>
      </c>
      <c r="C10" s="179">
        <f aca="true" t="shared" si="0" ref="C10:C43">C9-D9</f>
        <v>10000000</v>
      </c>
      <c r="D10" s="179">
        <v>50000</v>
      </c>
      <c r="E10" s="180">
        <f aca="true" t="shared" si="1" ref="E10:E40">B10*C10*0.07/360</f>
        <v>175000.00000000003</v>
      </c>
      <c r="F10" s="180"/>
      <c r="G10" s="213"/>
      <c r="H10" s="357"/>
      <c r="I10" s="358"/>
      <c r="J10" s="371">
        <f>H10+F10+'spł poż'!F10</f>
        <v>0</v>
      </c>
      <c r="K10" s="371">
        <f>I10+G10+'spł poż'!G10</f>
        <v>0</v>
      </c>
    </row>
    <row r="11" spans="1:11" ht="12.75">
      <c r="A11" s="362" t="s">
        <v>14</v>
      </c>
      <c r="B11" s="363">
        <v>90</v>
      </c>
      <c r="C11" s="179">
        <f t="shared" si="0"/>
        <v>9950000</v>
      </c>
      <c r="D11" s="179"/>
      <c r="E11" s="180">
        <f t="shared" si="1"/>
        <v>174125.00000000003</v>
      </c>
      <c r="F11" s="180"/>
      <c r="G11" s="213"/>
      <c r="H11" s="357"/>
      <c r="I11" s="358"/>
      <c r="J11" s="371">
        <f>H11+F11+'spł poż'!F11</f>
        <v>0</v>
      </c>
      <c r="K11" s="371">
        <f>I11+G11+'spł poż'!G11</f>
        <v>0</v>
      </c>
    </row>
    <row r="12" spans="1:11" ht="13.5" thickBot="1">
      <c r="A12" s="365" t="s">
        <v>15</v>
      </c>
      <c r="B12" s="366">
        <v>90</v>
      </c>
      <c r="C12" s="184">
        <f t="shared" si="0"/>
        <v>9950000</v>
      </c>
      <c r="D12" s="184"/>
      <c r="E12" s="185">
        <f t="shared" si="1"/>
        <v>174125.00000000003</v>
      </c>
      <c r="F12" s="185">
        <f>SUM(D9:D12)</f>
        <v>50000</v>
      </c>
      <c r="G12" s="214">
        <f>SUM(E9:E12)</f>
        <v>698250.0000000001</v>
      </c>
      <c r="H12" s="367">
        <v>3616899</v>
      </c>
      <c r="I12" s="368">
        <v>575506</v>
      </c>
      <c r="J12" s="369">
        <f>H12+F12+'spł poż'!F12</f>
        <v>3716899</v>
      </c>
      <c r="K12" s="369">
        <f>I12+G12+'spł poż'!G12</f>
        <v>1443944</v>
      </c>
    </row>
    <row r="13" spans="1:11" ht="12.75">
      <c r="A13" s="360" t="s">
        <v>16</v>
      </c>
      <c r="B13" s="361">
        <v>90</v>
      </c>
      <c r="C13" s="174">
        <f t="shared" si="0"/>
        <v>9950000</v>
      </c>
      <c r="D13" s="174"/>
      <c r="E13" s="175">
        <f t="shared" si="1"/>
        <v>174125.00000000003</v>
      </c>
      <c r="F13" s="175"/>
      <c r="G13" s="212"/>
      <c r="H13" s="357"/>
      <c r="I13" s="358"/>
      <c r="J13" s="370">
        <f>H13+F13+'spł poż'!F13</f>
        <v>0</v>
      </c>
      <c r="K13" s="370">
        <f>I13+G13+'spł poż'!G13</f>
        <v>0</v>
      </c>
    </row>
    <row r="14" spans="1:11" ht="12.75">
      <c r="A14" s="362" t="s">
        <v>17</v>
      </c>
      <c r="B14" s="363">
        <v>90</v>
      </c>
      <c r="C14" s="179">
        <f t="shared" si="0"/>
        <v>9950000</v>
      </c>
      <c r="D14" s="179">
        <v>50000</v>
      </c>
      <c r="E14" s="180">
        <f t="shared" si="1"/>
        <v>174125.00000000003</v>
      </c>
      <c r="F14" s="180"/>
      <c r="G14" s="213"/>
      <c r="H14" s="357"/>
      <c r="I14" s="358"/>
      <c r="J14" s="371">
        <f>H14+F14+'spł poż'!F14</f>
        <v>0</v>
      </c>
      <c r="K14" s="371">
        <f>I14+G14+'spł poż'!G14</f>
        <v>0</v>
      </c>
    </row>
    <row r="15" spans="1:11" ht="12.75">
      <c r="A15" s="362" t="s">
        <v>18</v>
      </c>
      <c r="B15" s="363">
        <v>90</v>
      </c>
      <c r="C15" s="179">
        <f t="shared" si="0"/>
        <v>9900000</v>
      </c>
      <c r="D15" s="179"/>
      <c r="E15" s="180">
        <f t="shared" si="1"/>
        <v>173250.00000000003</v>
      </c>
      <c r="F15" s="180"/>
      <c r="G15" s="213"/>
      <c r="H15" s="357"/>
      <c r="I15" s="358"/>
      <c r="J15" s="371">
        <f>H15+F15+'spł poż'!F15</f>
        <v>0</v>
      </c>
      <c r="K15" s="371">
        <f>I15+G15+'spł poż'!G15</f>
        <v>0</v>
      </c>
    </row>
    <row r="16" spans="1:11" ht="13.5" thickBot="1">
      <c r="A16" s="365" t="s">
        <v>19</v>
      </c>
      <c r="B16" s="366">
        <v>90</v>
      </c>
      <c r="C16" s="184">
        <f t="shared" si="0"/>
        <v>9900000</v>
      </c>
      <c r="D16" s="184"/>
      <c r="E16" s="185">
        <f t="shared" si="1"/>
        <v>173250.00000000003</v>
      </c>
      <c r="F16" s="185">
        <f>SUM(D13:D16)</f>
        <v>50000</v>
      </c>
      <c r="G16" s="214">
        <f>SUM(E13:E16)</f>
        <v>694750.0000000001</v>
      </c>
      <c r="H16" s="367">
        <v>3456453</v>
      </c>
      <c r="I16" s="368">
        <v>349963</v>
      </c>
      <c r="J16" s="369">
        <f>H16+F16+'spł poż'!F16</f>
        <v>3556453</v>
      </c>
      <c r="K16" s="369">
        <f>I16+G16+'spł poż'!G16</f>
        <v>1211401</v>
      </c>
    </row>
    <row r="17" spans="1:11" ht="12.75">
      <c r="A17" s="360" t="s">
        <v>20</v>
      </c>
      <c r="B17" s="361">
        <v>90</v>
      </c>
      <c r="C17" s="174">
        <f t="shared" si="0"/>
        <v>9900000</v>
      </c>
      <c r="D17" s="174">
        <f>D16</f>
        <v>0</v>
      </c>
      <c r="E17" s="175">
        <f t="shared" si="1"/>
        <v>173250.00000000003</v>
      </c>
      <c r="F17" s="175"/>
      <c r="G17" s="212"/>
      <c r="H17" s="357"/>
      <c r="I17" s="358"/>
      <c r="J17" s="370">
        <f>H17+F17+'spł poż'!F17</f>
        <v>0</v>
      </c>
      <c r="K17" s="370">
        <f>I17+G17+'spł poż'!G17</f>
        <v>0</v>
      </c>
    </row>
    <row r="18" spans="1:11" ht="12.75">
      <c r="A18" s="362" t="s">
        <v>21</v>
      </c>
      <c r="B18" s="363">
        <v>90</v>
      </c>
      <c r="C18" s="179">
        <f t="shared" si="0"/>
        <v>9900000</v>
      </c>
      <c r="D18" s="179">
        <v>50000</v>
      </c>
      <c r="E18" s="180">
        <f t="shared" si="1"/>
        <v>173250.00000000003</v>
      </c>
      <c r="F18" s="180"/>
      <c r="G18" s="213"/>
      <c r="H18" s="357"/>
      <c r="I18" s="358"/>
      <c r="J18" s="371">
        <f>H18+F18+'spł poż'!F18</f>
        <v>0</v>
      </c>
      <c r="K18" s="371">
        <f>I18+G18+'spł poż'!G18</f>
        <v>0</v>
      </c>
    </row>
    <row r="19" spans="1:36" s="17" customFormat="1" ht="12.75">
      <c r="A19" s="372" t="s">
        <v>22</v>
      </c>
      <c r="B19" s="373">
        <v>90</v>
      </c>
      <c r="C19" s="179">
        <f t="shared" si="0"/>
        <v>9850000</v>
      </c>
      <c r="D19" s="179"/>
      <c r="E19" s="180">
        <f t="shared" si="1"/>
        <v>172375.00000000003</v>
      </c>
      <c r="F19" s="188"/>
      <c r="G19" s="215"/>
      <c r="H19" s="357"/>
      <c r="I19" s="358"/>
      <c r="J19" s="371">
        <f>H19+F19+'spł poż'!F19</f>
        <v>0</v>
      </c>
      <c r="K19" s="371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74" t="s">
        <v>23</v>
      </c>
      <c r="B20" s="375">
        <v>90</v>
      </c>
      <c r="C20" s="195">
        <f t="shared" si="0"/>
        <v>9850000</v>
      </c>
      <c r="D20" s="208"/>
      <c r="E20" s="196">
        <f t="shared" si="1"/>
        <v>172375.00000000003</v>
      </c>
      <c r="F20" s="197">
        <f>SUM(D17:D20)</f>
        <v>50000</v>
      </c>
      <c r="G20" s="218">
        <f>SUM(E17:E20)</f>
        <v>691250.0000000001</v>
      </c>
      <c r="H20" s="367">
        <v>2500000</v>
      </c>
      <c r="I20" s="368">
        <v>258568</v>
      </c>
      <c r="J20" s="376">
        <f>H20+F20+'spł poż'!F20</f>
        <v>2600000</v>
      </c>
      <c r="K20" s="376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60" t="s">
        <v>24</v>
      </c>
      <c r="B21" s="361">
        <v>90</v>
      </c>
      <c r="C21" s="174">
        <f t="shared" si="0"/>
        <v>9850000</v>
      </c>
      <c r="D21" s="204"/>
      <c r="E21" s="175">
        <f t="shared" si="1"/>
        <v>172375.00000000003</v>
      </c>
      <c r="F21" s="175"/>
      <c r="G21" s="212"/>
      <c r="H21" s="357"/>
      <c r="I21" s="358"/>
      <c r="J21" s="370">
        <f>H21+F21+'spł poż'!F21</f>
        <v>0</v>
      </c>
      <c r="K21" s="370">
        <f>I21+G21+'spł poż'!G21</f>
        <v>0</v>
      </c>
    </row>
    <row r="22" spans="1:11" ht="12.75">
      <c r="A22" s="362" t="s">
        <v>25</v>
      </c>
      <c r="B22" s="363">
        <v>90</v>
      </c>
      <c r="C22" s="179">
        <f t="shared" si="0"/>
        <v>9850000</v>
      </c>
      <c r="D22" s="205">
        <v>50000</v>
      </c>
      <c r="E22" s="180">
        <f t="shared" si="1"/>
        <v>172375.00000000003</v>
      </c>
      <c r="F22" s="180"/>
      <c r="G22" s="213"/>
      <c r="H22" s="357"/>
      <c r="I22" s="358"/>
      <c r="J22" s="371">
        <f>H22+F22+'spł poż'!F22</f>
        <v>0</v>
      </c>
      <c r="K22" s="371">
        <f>I22+G22+'spł poż'!G22</f>
        <v>0</v>
      </c>
    </row>
    <row r="23" spans="1:11" ht="12.75">
      <c r="A23" s="362" t="s">
        <v>26</v>
      </c>
      <c r="B23" s="363">
        <v>90</v>
      </c>
      <c r="C23" s="179">
        <f t="shared" si="0"/>
        <v>9800000</v>
      </c>
      <c r="D23" s="179"/>
      <c r="E23" s="180">
        <f t="shared" si="1"/>
        <v>171500.00000000003</v>
      </c>
      <c r="F23" s="180"/>
      <c r="G23" s="213"/>
      <c r="H23" s="357"/>
      <c r="I23" s="358"/>
      <c r="J23" s="371">
        <f>H23+F23+'spł poż'!F23</f>
        <v>0</v>
      </c>
      <c r="K23" s="371">
        <f>I23+G23+'spł poż'!G23</f>
        <v>0</v>
      </c>
    </row>
    <row r="24" spans="1:11" ht="13.5" thickBot="1">
      <c r="A24" s="365" t="s">
        <v>27</v>
      </c>
      <c r="B24" s="366">
        <v>90</v>
      </c>
      <c r="C24" s="184">
        <f t="shared" si="0"/>
        <v>9800000</v>
      </c>
      <c r="D24" s="184"/>
      <c r="E24" s="185">
        <f t="shared" si="1"/>
        <v>171500.00000000003</v>
      </c>
      <c r="F24" s="185">
        <f>SUM(D21:D24)</f>
        <v>50000</v>
      </c>
      <c r="G24" s="214">
        <f>SUM(E21:E24)</f>
        <v>687750.0000000001</v>
      </c>
      <c r="H24" s="367">
        <v>2500000</v>
      </c>
      <c r="I24" s="368">
        <v>171068</v>
      </c>
      <c r="J24" s="369">
        <f>H24+F24+'spł poż'!F24</f>
        <v>2600000</v>
      </c>
      <c r="K24" s="369">
        <f>I24+G24+'spł poż'!G24</f>
        <v>1018506.0000000001</v>
      </c>
    </row>
    <row r="25" spans="1:36" s="17" customFormat="1" ht="12.75">
      <c r="A25" s="377" t="s">
        <v>28</v>
      </c>
      <c r="B25" s="378">
        <v>90</v>
      </c>
      <c r="C25" s="174">
        <f t="shared" si="0"/>
        <v>9800000</v>
      </c>
      <c r="D25" s="204"/>
      <c r="E25" s="175">
        <f t="shared" si="1"/>
        <v>171500.00000000003</v>
      </c>
      <c r="F25" s="201"/>
      <c r="G25" s="217"/>
      <c r="H25" s="357"/>
      <c r="I25" s="358"/>
      <c r="J25" s="370">
        <f>H25+F25+'spł poż'!F25</f>
        <v>0</v>
      </c>
      <c r="K25" s="370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72" t="s">
        <v>29</v>
      </c>
      <c r="B26" s="373">
        <v>90</v>
      </c>
      <c r="C26" s="179">
        <f t="shared" si="0"/>
        <v>9800000</v>
      </c>
      <c r="D26" s="205">
        <v>100000</v>
      </c>
      <c r="E26" s="180">
        <f t="shared" si="1"/>
        <v>171500.00000000003</v>
      </c>
      <c r="F26" s="188"/>
      <c r="G26" s="215"/>
      <c r="H26" s="357"/>
      <c r="I26" s="358"/>
      <c r="J26" s="371">
        <f>H26+F26+'spł poż'!F26</f>
        <v>0</v>
      </c>
      <c r="K26" s="371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72" t="s">
        <v>30</v>
      </c>
      <c r="B27" s="373">
        <v>90</v>
      </c>
      <c r="C27" s="179">
        <f t="shared" si="0"/>
        <v>9700000</v>
      </c>
      <c r="D27" s="205"/>
      <c r="E27" s="180">
        <f t="shared" si="1"/>
        <v>169750.00000000003</v>
      </c>
      <c r="F27" s="188"/>
      <c r="G27" s="215"/>
      <c r="H27" s="357"/>
      <c r="I27" s="358"/>
      <c r="J27" s="371">
        <f>H27+F27+'spł poż'!F27</f>
        <v>0</v>
      </c>
      <c r="K27" s="371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79" t="s">
        <v>31</v>
      </c>
      <c r="B28" s="380">
        <v>90</v>
      </c>
      <c r="C28" s="184">
        <f t="shared" si="0"/>
        <v>9700000</v>
      </c>
      <c r="D28" s="206"/>
      <c r="E28" s="185">
        <f t="shared" si="1"/>
        <v>169750.00000000003</v>
      </c>
      <c r="F28" s="191">
        <f>SUM(D25:D28)</f>
        <v>100000</v>
      </c>
      <c r="G28" s="216">
        <f>SUM(E25:E28)</f>
        <v>682500.0000000001</v>
      </c>
      <c r="H28" s="367">
        <v>2376170</v>
      </c>
      <c r="I28" s="368">
        <v>83568</v>
      </c>
      <c r="J28" s="369">
        <f>H28+F28+'spł poż'!F28</f>
        <v>2501170</v>
      </c>
      <c r="K28" s="369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60" t="s">
        <v>32</v>
      </c>
      <c r="B29" s="361">
        <v>90</v>
      </c>
      <c r="C29" s="174">
        <f t="shared" si="0"/>
        <v>9700000</v>
      </c>
      <c r="D29" s="174"/>
      <c r="E29" s="175">
        <f t="shared" si="1"/>
        <v>169750.00000000003</v>
      </c>
      <c r="F29" s="175"/>
      <c r="G29" s="212"/>
      <c r="H29" s="357"/>
      <c r="I29" s="358"/>
      <c r="J29" s="370">
        <f>H29+F29+'spł poż'!F29</f>
        <v>0</v>
      </c>
      <c r="K29" s="370">
        <f>I29+G29+'spł poż'!G29</f>
        <v>0</v>
      </c>
    </row>
    <row r="30" spans="1:11" ht="12.75">
      <c r="A30" s="362" t="s">
        <v>33</v>
      </c>
      <c r="B30" s="363">
        <v>90</v>
      </c>
      <c r="C30" s="179">
        <f t="shared" si="0"/>
        <v>9700000</v>
      </c>
      <c r="D30" s="205">
        <v>1000000</v>
      </c>
      <c r="E30" s="180">
        <f t="shared" si="1"/>
        <v>169750.00000000003</v>
      </c>
      <c r="F30" s="180"/>
      <c r="G30" s="213"/>
      <c r="H30" s="357"/>
      <c r="I30" s="358"/>
      <c r="J30" s="371">
        <f>H30+F30+'spł poż'!F30</f>
        <v>0</v>
      </c>
      <c r="K30" s="371">
        <f>I30+G30+'spł poż'!G30</f>
        <v>0</v>
      </c>
    </row>
    <row r="31" spans="1:11" ht="12.75">
      <c r="A31" s="362" t="s">
        <v>34</v>
      </c>
      <c r="B31" s="363">
        <v>90</v>
      </c>
      <c r="C31" s="179">
        <f t="shared" si="0"/>
        <v>8700000</v>
      </c>
      <c r="D31" s="205"/>
      <c r="E31" s="180">
        <f t="shared" si="1"/>
        <v>152250.00000000003</v>
      </c>
      <c r="F31" s="180"/>
      <c r="G31" s="213"/>
      <c r="H31" s="357"/>
      <c r="I31" s="358"/>
      <c r="J31" s="371">
        <f>H31+F31+'spł poż'!F31</f>
        <v>0</v>
      </c>
      <c r="K31" s="371">
        <f>I31+G31+'spł poż'!G31</f>
        <v>0</v>
      </c>
    </row>
    <row r="32" spans="1:11" ht="13.5" thickBot="1">
      <c r="A32" s="381" t="s">
        <v>35</v>
      </c>
      <c r="B32" s="382">
        <v>90</v>
      </c>
      <c r="C32" s="195">
        <f t="shared" si="0"/>
        <v>8700000</v>
      </c>
      <c r="D32" s="208"/>
      <c r="E32" s="196">
        <f t="shared" si="1"/>
        <v>152250.00000000003</v>
      </c>
      <c r="F32" s="196">
        <f>SUM(D29:D32)</f>
        <v>1000000</v>
      </c>
      <c r="G32" s="383">
        <f>SUM(E29:E32)</f>
        <v>644000.0000000001</v>
      </c>
      <c r="H32" s="367">
        <v>11500</v>
      </c>
      <c r="I32" s="358">
        <v>403</v>
      </c>
      <c r="J32" s="376">
        <f>H32+F32+'spł poż'!F32</f>
        <v>1062028</v>
      </c>
      <c r="K32" s="376">
        <f>I32+G32+'spł poż'!G32</f>
        <v>770831.2600000001</v>
      </c>
    </row>
    <row r="33" spans="1:36" s="17" customFormat="1" ht="12.75">
      <c r="A33" s="377" t="s">
        <v>36</v>
      </c>
      <c r="B33" s="378">
        <v>90</v>
      </c>
      <c r="C33" s="174">
        <f t="shared" si="0"/>
        <v>8700000</v>
      </c>
      <c r="D33" s="204"/>
      <c r="E33" s="175">
        <f t="shared" si="1"/>
        <v>152250.00000000003</v>
      </c>
      <c r="F33" s="201"/>
      <c r="G33" s="217"/>
      <c r="H33" s="357"/>
      <c r="I33" s="358"/>
      <c r="J33" s="370">
        <f>H33+F33+'spł poż'!F33</f>
        <v>0</v>
      </c>
      <c r="K33" s="370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72" t="s">
        <v>37</v>
      </c>
      <c r="B34" s="373">
        <v>90</v>
      </c>
      <c r="C34" s="179">
        <f t="shared" si="0"/>
        <v>8700000</v>
      </c>
      <c r="D34" s="205">
        <v>500000</v>
      </c>
      <c r="E34" s="180">
        <f t="shared" si="1"/>
        <v>152250.00000000003</v>
      </c>
      <c r="F34" s="188"/>
      <c r="G34" s="215"/>
      <c r="H34" s="357"/>
      <c r="I34" s="358"/>
      <c r="J34" s="371">
        <f>H34+F34+'spł poż'!F34</f>
        <v>0</v>
      </c>
      <c r="K34" s="371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72" t="s">
        <v>38</v>
      </c>
      <c r="B35" s="373">
        <v>90</v>
      </c>
      <c r="C35" s="179">
        <f t="shared" si="0"/>
        <v>8200000</v>
      </c>
      <c r="D35" s="205"/>
      <c r="E35" s="180">
        <f t="shared" si="1"/>
        <v>143500.00000000003</v>
      </c>
      <c r="F35" s="188"/>
      <c r="G35" s="215"/>
      <c r="H35" s="357"/>
      <c r="I35" s="358"/>
      <c r="J35" s="371">
        <f>H35+F35+'spł poż'!F35</f>
        <v>0</v>
      </c>
      <c r="K35" s="371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79" t="s">
        <v>39</v>
      </c>
      <c r="B36" s="380">
        <v>90</v>
      </c>
      <c r="C36" s="184">
        <f t="shared" si="0"/>
        <v>8200000</v>
      </c>
      <c r="D36" s="206"/>
      <c r="E36" s="185">
        <f t="shared" si="1"/>
        <v>143500.00000000003</v>
      </c>
      <c r="F36" s="191">
        <f>SUM(D33:D36)</f>
        <v>500000</v>
      </c>
      <c r="G36" s="216">
        <f>SUM(E33:E36)</f>
        <v>591500.0000000001</v>
      </c>
      <c r="H36" s="357"/>
      <c r="I36" s="358"/>
      <c r="J36" s="369">
        <f>H36+F36+'spł poż'!F36</f>
        <v>1250523</v>
      </c>
      <c r="K36" s="369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60" t="s">
        <v>40</v>
      </c>
      <c r="B37" s="361">
        <v>90</v>
      </c>
      <c r="C37" s="174">
        <f t="shared" si="0"/>
        <v>8200000</v>
      </c>
      <c r="D37" s="174">
        <f>D36</f>
        <v>0</v>
      </c>
      <c r="E37" s="175">
        <f t="shared" si="1"/>
        <v>143500.00000000003</v>
      </c>
      <c r="F37" s="175"/>
      <c r="G37" s="212"/>
      <c r="H37" s="357"/>
      <c r="I37" s="358"/>
      <c r="J37" s="370">
        <f>H37+F37+'spł poż'!F37</f>
        <v>0</v>
      </c>
      <c r="K37" s="370">
        <f>I37+G37+'spł poż'!G37</f>
        <v>0</v>
      </c>
    </row>
    <row r="38" spans="1:11" ht="12.75">
      <c r="A38" s="362" t="s">
        <v>41</v>
      </c>
      <c r="B38" s="363">
        <v>90</v>
      </c>
      <c r="C38" s="179">
        <f t="shared" si="0"/>
        <v>8200000</v>
      </c>
      <c r="D38" s="179">
        <v>500000</v>
      </c>
      <c r="E38" s="180">
        <f t="shared" si="1"/>
        <v>143500.00000000003</v>
      </c>
      <c r="F38" s="180"/>
      <c r="G38" s="213"/>
      <c r="H38" s="357"/>
      <c r="I38" s="358"/>
      <c r="J38" s="371">
        <f>H38+F38+'spł poż'!F38</f>
        <v>0</v>
      </c>
      <c r="K38" s="371">
        <f>I38+G38+'spł poż'!G38</f>
        <v>0</v>
      </c>
    </row>
    <row r="39" spans="1:11" ht="12.75">
      <c r="A39" s="362" t="s">
        <v>42</v>
      </c>
      <c r="B39" s="363">
        <v>90</v>
      </c>
      <c r="C39" s="179">
        <f t="shared" si="0"/>
        <v>7700000</v>
      </c>
      <c r="D39" s="179"/>
      <c r="E39" s="180">
        <f t="shared" si="1"/>
        <v>134750.00000000003</v>
      </c>
      <c r="F39" s="180"/>
      <c r="G39" s="213"/>
      <c r="H39" s="357"/>
      <c r="I39" s="358"/>
      <c r="J39" s="371">
        <f>H39+F39+'spł poż'!F39</f>
        <v>0</v>
      </c>
      <c r="K39" s="371">
        <f>I39+G39+'spł poż'!G39</f>
        <v>0</v>
      </c>
    </row>
    <row r="40" spans="1:11" ht="13.5" thickBot="1">
      <c r="A40" s="365" t="s">
        <v>43</v>
      </c>
      <c r="B40" s="366">
        <v>90</v>
      </c>
      <c r="C40" s="184">
        <f t="shared" si="0"/>
        <v>7700000</v>
      </c>
      <c r="D40" s="184"/>
      <c r="E40" s="185">
        <f t="shared" si="1"/>
        <v>134750.00000000003</v>
      </c>
      <c r="F40" s="185">
        <f>SUM(D37:D40)</f>
        <v>500000</v>
      </c>
      <c r="G40" s="214">
        <f>SUM(E37:E40)</f>
        <v>556500.0000000001</v>
      </c>
      <c r="H40" s="357"/>
      <c r="I40" s="358"/>
      <c r="J40" s="369">
        <f>H40+F40+'spł poż'!F40</f>
        <v>1100000</v>
      </c>
      <c r="K40" s="369">
        <f>I40+G40+'spł poż'!G40</f>
        <v>612426.4300000002</v>
      </c>
    </row>
    <row r="41" spans="1:11" ht="12.75">
      <c r="A41" s="360" t="s">
        <v>44</v>
      </c>
      <c r="B41" s="361">
        <v>90</v>
      </c>
      <c r="C41" s="174">
        <f t="shared" si="0"/>
        <v>7700000</v>
      </c>
      <c r="D41" s="174"/>
      <c r="E41" s="175">
        <f aca="true" t="shared" si="2" ref="E41:E48">B41*C41*0.07/360</f>
        <v>134750.00000000003</v>
      </c>
      <c r="F41" s="175"/>
      <c r="G41" s="212"/>
      <c r="H41" s="357"/>
      <c r="I41" s="358"/>
      <c r="J41" s="370">
        <f>H41+F41+'spł poż'!F41</f>
        <v>0</v>
      </c>
      <c r="K41" s="370">
        <f>I41+G41+'spł poż'!G41</f>
        <v>0</v>
      </c>
    </row>
    <row r="42" spans="1:11" ht="12.75">
      <c r="A42" s="362" t="s">
        <v>45</v>
      </c>
      <c r="B42" s="363">
        <v>90</v>
      </c>
      <c r="C42" s="179">
        <f t="shared" si="0"/>
        <v>7700000</v>
      </c>
      <c r="D42" s="179">
        <v>600000</v>
      </c>
      <c r="E42" s="180">
        <f t="shared" si="2"/>
        <v>134750.00000000003</v>
      </c>
      <c r="F42" s="180"/>
      <c r="G42" s="213"/>
      <c r="H42" s="357"/>
      <c r="I42" s="358"/>
      <c r="J42" s="371">
        <f>H42+F42+'spł poż'!F42</f>
        <v>0</v>
      </c>
      <c r="K42" s="371">
        <f>I42+G42+'spł poż'!G42</f>
        <v>0</v>
      </c>
    </row>
    <row r="43" spans="1:11" ht="12.75">
      <c r="A43" s="362" t="s">
        <v>46</v>
      </c>
      <c r="B43" s="363">
        <v>90</v>
      </c>
      <c r="C43" s="179">
        <f t="shared" si="0"/>
        <v>7100000</v>
      </c>
      <c r="D43" s="179">
        <v>600000</v>
      </c>
      <c r="E43" s="180">
        <f t="shared" si="2"/>
        <v>124250.00000000001</v>
      </c>
      <c r="F43" s="180"/>
      <c r="G43" s="213"/>
      <c r="H43" s="357"/>
      <c r="I43" s="358"/>
      <c r="J43" s="371">
        <f>H43+F43+'spł poż'!F43</f>
        <v>0</v>
      </c>
      <c r="K43" s="371">
        <f>I43+G43+'spł poż'!G43</f>
        <v>0</v>
      </c>
    </row>
    <row r="44" spans="1:11" ht="13.5" thickBot="1">
      <c r="A44" s="365" t="s">
        <v>47</v>
      </c>
      <c r="B44" s="366">
        <v>90</v>
      </c>
      <c r="C44" s="184">
        <f>C43-D43</f>
        <v>6500000</v>
      </c>
      <c r="D44" s="184"/>
      <c r="E44" s="185">
        <f t="shared" si="2"/>
        <v>113750.00000000001</v>
      </c>
      <c r="F44" s="185">
        <f>SUM(D41:D44)</f>
        <v>1200000</v>
      </c>
      <c r="G44" s="214">
        <f>SUM(E41:E44)</f>
        <v>507500.00000000006</v>
      </c>
      <c r="H44" s="384"/>
      <c r="I44" s="385"/>
      <c r="J44" s="369">
        <f>H44+F44+'spł poż'!F44</f>
        <v>1623949</v>
      </c>
      <c r="K44" s="369">
        <f>I44+G44+'spł poż'!G44</f>
        <v>526257.3225</v>
      </c>
    </row>
    <row r="45" spans="1:11" ht="12.75">
      <c r="A45" s="360" t="s">
        <v>365</v>
      </c>
      <c r="B45" s="361">
        <v>90</v>
      </c>
      <c r="C45" s="174">
        <f>C44-D44</f>
        <v>6500000</v>
      </c>
      <c r="D45" s="174">
        <v>3500000</v>
      </c>
      <c r="E45" s="175">
        <f t="shared" si="2"/>
        <v>113750.00000000001</v>
      </c>
      <c r="F45" s="175"/>
      <c r="G45" s="212"/>
      <c r="H45" s="357"/>
      <c r="I45" s="358"/>
      <c r="J45" s="370">
        <f>H45+F45+'spł poż'!F45</f>
        <v>2100000</v>
      </c>
      <c r="K45" s="370">
        <f>I45+G45+'spł poż'!G45</f>
        <v>0</v>
      </c>
    </row>
    <row r="46" spans="1:11" ht="12.75">
      <c r="A46" s="362" t="s">
        <v>366</v>
      </c>
      <c r="B46" s="363">
        <v>90</v>
      </c>
      <c r="C46" s="179">
        <f>C45-D45</f>
        <v>3000000</v>
      </c>
      <c r="D46" s="179"/>
      <c r="E46" s="180">
        <f t="shared" si="2"/>
        <v>52500</v>
      </c>
      <c r="F46" s="180"/>
      <c r="G46" s="213"/>
      <c r="H46" s="357"/>
      <c r="I46" s="358"/>
      <c r="J46" s="371">
        <f>H46+F46+'spł poż'!F46</f>
        <v>0</v>
      </c>
      <c r="K46" s="371">
        <f>I46+G46+'spł poż'!G46</f>
        <v>0</v>
      </c>
    </row>
    <row r="47" spans="1:11" ht="12.75">
      <c r="A47" s="362" t="s">
        <v>367</v>
      </c>
      <c r="B47" s="363">
        <v>90</v>
      </c>
      <c r="C47" s="179">
        <f>C46-D46</f>
        <v>3000000</v>
      </c>
      <c r="D47" s="179">
        <v>3000000</v>
      </c>
      <c r="E47" s="180">
        <f t="shared" si="2"/>
        <v>52500</v>
      </c>
      <c r="F47" s="180"/>
      <c r="G47" s="213"/>
      <c r="H47" s="357"/>
      <c r="I47" s="358"/>
      <c r="J47" s="371">
        <f>H47+F47+'spł poż'!F47</f>
        <v>0</v>
      </c>
      <c r="K47" s="371">
        <f>I47+G47+'spł poż'!G47</f>
        <v>0</v>
      </c>
    </row>
    <row r="48" spans="1:11" ht="13.5" thickBot="1">
      <c r="A48" s="365" t="s">
        <v>368</v>
      </c>
      <c r="B48" s="366">
        <v>90</v>
      </c>
      <c r="C48" s="184">
        <f>C47-D47</f>
        <v>0</v>
      </c>
      <c r="D48" s="184"/>
      <c r="E48" s="185">
        <f t="shared" si="2"/>
        <v>0</v>
      </c>
      <c r="F48" s="185">
        <f>SUM(D45:D48)</f>
        <v>6500000</v>
      </c>
      <c r="G48" s="214">
        <f>SUM(E45:E48)</f>
        <v>218750</v>
      </c>
      <c r="H48" s="384"/>
      <c r="I48" s="385"/>
      <c r="J48" s="369">
        <f>H48+F48+'spł poż'!F48</f>
        <v>6500000</v>
      </c>
      <c r="K48" s="369">
        <f>I48+G48+'spł poż'!G48</f>
        <v>218750</v>
      </c>
    </row>
    <row r="49" spans="1:11" ht="12.75">
      <c r="A49" s="386"/>
      <c r="B49" s="387"/>
      <c r="C49" s="386"/>
      <c r="D49" s="388">
        <f>SUM(D9:D48)</f>
        <v>10000000</v>
      </c>
      <c r="F49" s="388">
        <f>SUM(F9:F48)</f>
        <v>10000000</v>
      </c>
      <c r="G49" s="388">
        <f>SUM(G9:G48)</f>
        <v>5972750.000000001</v>
      </c>
      <c r="H49" s="389"/>
      <c r="I49" s="389"/>
      <c r="J49" s="388">
        <f>SUM(J9:J48)</f>
        <v>28611022</v>
      </c>
      <c r="K49" s="390">
        <f>SUM(K3:K44)</f>
        <v>10418644.5525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7">
      <selection activeCell="K39" sqref="K3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691" t="s">
        <v>211</v>
      </c>
      <c r="B1" s="691"/>
      <c r="C1" s="691"/>
      <c r="D1" s="691"/>
      <c r="E1" s="691"/>
      <c r="F1" s="691"/>
      <c r="G1" s="691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1" t="s">
        <v>7</v>
      </c>
      <c r="B4" s="15">
        <v>90</v>
      </c>
      <c r="C4" s="22">
        <f>C3</f>
        <v>2100000</v>
      </c>
      <c r="D4" s="12">
        <v>0</v>
      </c>
      <c r="E4" s="170">
        <f>B4*C4*5.5%/360</f>
        <v>28875</v>
      </c>
      <c r="F4" s="170">
        <v>0</v>
      </c>
      <c r="G4" s="170">
        <f>E3+E4</f>
        <v>28875</v>
      </c>
    </row>
    <row r="5" spans="1:7" s="2" customFormat="1" ht="15">
      <c r="A5" s="171" t="s">
        <v>8</v>
      </c>
      <c r="B5" s="172">
        <v>90</v>
      </c>
      <c r="C5" s="173">
        <f aca="true" t="shared" si="0" ref="C5:C39">C4-D4</f>
        <v>2100000</v>
      </c>
      <c r="D5" s="174">
        <v>12500</v>
      </c>
      <c r="E5" s="175">
        <f>B5*C5*0.07/360</f>
        <v>36750.00000000001</v>
      </c>
      <c r="F5" s="175"/>
      <c r="G5" s="175"/>
    </row>
    <row r="6" spans="1:8" ht="15">
      <c r="A6" s="176" t="s">
        <v>9</v>
      </c>
      <c r="B6" s="177">
        <v>90</v>
      </c>
      <c r="C6" s="178">
        <f t="shared" si="0"/>
        <v>2087500</v>
      </c>
      <c r="D6" s="179">
        <v>12500</v>
      </c>
      <c r="E6" s="180">
        <f>B6*C6*0.07/360</f>
        <v>36531.25000000001</v>
      </c>
      <c r="F6" s="180"/>
      <c r="G6" s="180"/>
      <c r="H6" s="14">
        <f>SUM(D5:D8)</f>
        <v>50000</v>
      </c>
    </row>
    <row r="7" spans="1:7" ht="15">
      <c r="A7" s="176" t="s">
        <v>10</v>
      </c>
      <c r="B7" s="177">
        <v>90</v>
      </c>
      <c r="C7" s="178">
        <f t="shared" si="0"/>
        <v>2075000</v>
      </c>
      <c r="D7" s="179">
        <f aca="true" t="shared" si="1" ref="D7:D25">D6</f>
        <v>12500</v>
      </c>
      <c r="E7" s="180">
        <f aca="true" t="shared" si="2" ref="E7:E40">B7*C7*0.07/360</f>
        <v>36312.50000000001</v>
      </c>
      <c r="F7" s="180"/>
      <c r="G7" s="180"/>
    </row>
    <row r="8" spans="1:7" ht="15.75" thickBot="1">
      <c r="A8" s="181" t="s">
        <v>11</v>
      </c>
      <c r="B8" s="182">
        <v>90</v>
      </c>
      <c r="C8" s="183">
        <f t="shared" si="0"/>
        <v>2062500</v>
      </c>
      <c r="D8" s="184">
        <f t="shared" si="1"/>
        <v>12500</v>
      </c>
      <c r="E8" s="185">
        <f>B8*C8*0.07/360</f>
        <v>36093.75000000001</v>
      </c>
      <c r="F8" s="185">
        <v>50000</v>
      </c>
      <c r="G8" s="185">
        <v>173688</v>
      </c>
    </row>
    <row r="9" spans="1:7" ht="15">
      <c r="A9" s="171" t="s">
        <v>12</v>
      </c>
      <c r="B9" s="172">
        <v>90</v>
      </c>
      <c r="C9" s="173">
        <f t="shared" si="0"/>
        <v>2050000</v>
      </c>
      <c r="D9" s="174">
        <f t="shared" si="1"/>
        <v>12500</v>
      </c>
      <c r="E9" s="175">
        <f t="shared" si="2"/>
        <v>35875.00000000001</v>
      </c>
      <c r="F9" s="175"/>
      <c r="G9" s="175"/>
    </row>
    <row r="10" spans="1:8" ht="15">
      <c r="A10" s="176" t="s">
        <v>13</v>
      </c>
      <c r="B10" s="177">
        <v>90</v>
      </c>
      <c r="C10" s="178">
        <f t="shared" si="0"/>
        <v>2037500</v>
      </c>
      <c r="D10" s="179">
        <f t="shared" si="1"/>
        <v>12500</v>
      </c>
      <c r="E10" s="180">
        <f t="shared" si="2"/>
        <v>35656.25000000001</v>
      </c>
      <c r="F10" s="180"/>
      <c r="G10" s="180"/>
      <c r="H10" s="14">
        <v>50000</v>
      </c>
    </row>
    <row r="11" spans="1:7" ht="15">
      <c r="A11" s="176" t="s">
        <v>14</v>
      </c>
      <c r="B11" s="177">
        <v>90</v>
      </c>
      <c r="C11" s="178">
        <f t="shared" si="0"/>
        <v>2025000</v>
      </c>
      <c r="D11" s="179">
        <f t="shared" si="1"/>
        <v>12500</v>
      </c>
      <c r="E11" s="180">
        <f t="shared" si="2"/>
        <v>35437.50000000001</v>
      </c>
      <c r="F11" s="180"/>
      <c r="G11" s="180"/>
    </row>
    <row r="12" spans="1:7" ht="15.75" thickBot="1">
      <c r="A12" s="181" t="s">
        <v>15</v>
      </c>
      <c r="B12" s="182">
        <v>90</v>
      </c>
      <c r="C12" s="183">
        <f t="shared" si="0"/>
        <v>2012500</v>
      </c>
      <c r="D12" s="184">
        <f t="shared" si="1"/>
        <v>12500</v>
      </c>
      <c r="E12" s="185">
        <f t="shared" si="2"/>
        <v>35218.75000000001</v>
      </c>
      <c r="F12" s="185">
        <f>SUM(D9:D12)</f>
        <v>50000</v>
      </c>
      <c r="G12" s="185">
        <v>170188</v>
      </c>
    </row>
    <row r="13" spans="1:7" ht="15">
      <c r="A13" s="171" t="s">
        <v>16</v>
      </c>
      <c r="B13" s="172">
        <v>90</v>
      </c>
      <c r="C13" s="173">
        <f t="shared" si="0"/>
        <v>2000000</v>
      </c>
      <c r="D13" s="174">
        <f t="shared" si="1"/>
        <v>12500</v>
      </c>
      <c r="E13" s="175">
        <f t="shared" si="2"/>
        <v>35000.00000000001</v>
      </c>
      <c r="F13" s="175"/>
      <c r="G13" s="175"/>
    </row>
    <row r="14" spans="1:8" ht="15">
      <c r="A14" s="176" t="s">
        <v>17</v>
      </c>
      <c r="B14" s="177">
        <v>90</v>
      </c>
      <c r="C14" s="178">
        <f t="shared" si="0"/>
        <v>1987500</v>
      </c>
      <c r="D14" s="179">
        <f t="shared" si="1"/>
        <v>12500</v>
      </c>
      <c r="E14" s="180">
        <f t="shared" si="2"/>
        <v>34781.25000000001</v>
      </c>
      <c r="F14" s="180"/>
      <c r="G14" s="180"/>
      <c r="H14" s="14">
        <v>50000</v>
      </c>
    </row>
    <row r="15" spans="1:7" ht="15">
      <c r="A15" s="176" t="s">
        <v>18</v>
      </c>
      <c r="B15" s="177">
        <v>90</v>
      </c>
      <c r="C15" s="178">
        <f t="shared" si="0"/>
        <v>1975000</v>
      </c>
      <c r="D15" s="179">
        <f t="shared" si="1"/>
        <v>12500</v>
      </c>
      <c r="E15" s="180">
        <f t="shared" si="2"/>
        <v>34562.50000000001</v>
      </c>
      <c r="F15" s="180"/>
      <c r="G15" s="180"/>
    </row>
    <row r="16" spans="1:7" ht="15.75" thickBot="1">
      <c r="A16" s="181" t="s">
        <v>19</v>
      </c>
      <c r="B16" s="182">
        <v>90</v>
      </c>
      <c r="C16" s="183">
        <f t="shared" si="0"/>
        <v>1962500</v>
      </c>
      <c r="D16" s="184">
        <f t="shared" si="1"/>
        <v>12500</v>
      </c>
      <c r="E16" s="185">
        <f>B16*C16*0.07/360</f>
        <v>34343.75000000001</v>
      </c>
      <c r="F16" s="185">
        <f>SUM(D13:D16)</f>
        <v>50000</v>
      </c>
      <c r="G16" s="185">
        <v>166688</v>
      </c>
    </row>
    <row r="17" spans="1:7" ht="15">
      <c r="A17" s="171" t="s">
        <v>20</v>
      </c>
      <c r="B17" s="172">
        <v>90</v>
      </c>
      <c r="C17" s="173">
        <f t="shared" si="0"/>
        <v>1950000</v>
      </c>
      <c r="D17" s="174">
        <f t="shared" si="1"/>
        <v>12500</v>
      </c>
      <c r="E17" s="175">
        <f t="shared" si="2"/>
        <v>34125.00000000001</v>
      </c>
      <c r="F17" s="175"/>
      <c r="G17" s="175"/>
    </row>
    <row r="18" spans="1:8" ht="15">
      <c r="A18" s="176" t="s">
        <v>21</v>
      </c>
      <c r="B18" s="177">
        <v>90</v>
      </c>
      <c r="C18" s="178">
        <f t="shared" si="0"/>
        <v>1937500</v>
      </c>
      <c r="D18" s="179">
        <f t="shared" si="1"/>
        <v>12500</v>
      </c>
      <c r="E18" s="180">
        <f t="shared" si="2"/>
        <v>33906.25000000001</v>
      </c>
      <c r="F18" s="180"/>
      <c r="G18" s="180"/>
      <c r="H18" s="14">
        <v>50000</v>
      </c>
    </row>
    <row r="19" spans="1:8" s="17" customFormat="1" ht="15">
      <c r="A19" s="186" t="s">
        <v>22</v>
      </c>
      <c r="B19" s="187">
        <v>90</v>
      </c>
      <c r="C19" s="178">
        <f t="shared" si="0"/>
        <v>1925000</v>
      </c>
      <c r="D19" s="179">
        <f t="shared" si="1"/>
        <v>12500</v>
      </c>
      <c r="E19" s="180">
        <f t="shared" si="2"/>
        <v>33687.50000000001</v>
      </c>
      <c r="F19" s="188"/>
      <c r="G19" s="188"/>
      <c r="H19" s="16"/>
    </row>
    <row r="20" spans="1:7" s="17" customFormat="1" ht="15.75" thickBot="1">
      <c r="A20" s="192" t="s">
        <v>23</v>
      </c>
      <c r="B20" s="193">
        <v>90</v>
      </c>
      <c r="C20" s="194">
        <f t="shared" si="0"/>
        <v>1912500</v>
      </c>
      <c r="D20" s="195">
        <f t="shared" si="1"/>
        <v>12500</v>
      </c>
      <c r="E20" s="196">
        <f t="shared" si="2"/>
        <v>33468.75000000001</v>
      </c>
      <c r="F20" s="197">
        <f>SUM(D17:D20)</f>
        <v>50000</v>
      </c>
      <c r="G20" s="197">
        <v>163188</v>
      </c>
    </row>
    <row r="21" spans="1:7" ht="15">
      <c r="A21" s="171" t="s">
        <v>24</v>
      </c>
      <c r="B21" s="172">
        <v>90</v>
      </c>
      <c r="C21" s="173">
        <f t="shared" si="0"/>
        <v>1900000</v>
      </c>
      <c r="D21" s="174">
        <f t="shared" si="1"/>
        <v>12500</v>
      </c>
      <c r="E21" s="175">
        <f t="shared" si="2"/>
        <v>33250.00000000001</v>
      </c>
      <c r="F21" s="175"/>
      <c r="G21" s="175"/>
    </row>
    <row r="22" spans="1:8" ht="15">
      <c r="A22" s="176" t="s">
        <v>25</v>
      </c>
      <c r="B22" s="177">
        <v>90</v>
      </c>
      <c r="C22" s="178">
        <f t="shared" si="0"/>
        <v>1887500</v>
      </c>
      <c r="D22" s="179">
        <f t="shared" si="1"/>
        <v>12500</v>
      </c>
      <c r="E22" s="180">
        <f t="shared" si="2"/>
        <v>33031.25000000001</v>
      </c>
      <c r="F22" s="180"/>
      <c r="G22" s="180"/>
      <c r="H22" s="14">
        <v>50000</v>
      </c>
    </row>
    <row r="23" spans="1:7" ht="15">
      <c r="A23" s="176" t="s">
        <v>26</v>
      </c>
      <c r="B23" s="177">
        <v>90</v>
      </c>
      <c r="C23" s="178">
        <f t="shared" si="0"/>
        <v>1875000</v>
      </c>
      <c r="D23" s="179">
        <f t="shared" si="1"/>
        <v>12500</v>
      </c>
      <c r="E23" s="180">
        <f t="shared" si="2"/>
        <v>32812.50000000001</v>
      </c>
      <c r="F23" s="180"/>
      <c r="G23" s="180"/>
    </row>
    <row r="24" spans="1:7" ht="15.75" thickBot="1">
      <c r="A24" s="181" t="s">
        <v>27</v>
      </c>
      <c r="B24" s="182">
        <v>90</v>
      </c>
      <c r="C24" s="183">
        <f t="shared" si="0"/>
        <v>1862500</v>
      </c>
      <c r="D24" s="184">
        <f t="shared" si="1"/>
        <v>12500</v>
      </c>
      <c r="E24" s="185">
        <f t="shared" si="2"/>
        <v>32593.750000000004</v>
      </c>
      <c r="F24" s="185">
        <f>SUM(D21:D24)</f>
        <v>50000</v>
      </c>
      <c r="G24" s="185">
        <v>159688</v>
      </c>
    </row>
    <row r="25" spans="1:7" s="17" customFormat="1" ht="15">
      <c r="A25" s="198" t="s">
        <v>28</v>
      </c>
      <c r="B25" s="199">
        <v>90</v>
      </c>
      <c r="C25" s="200">
        <f t="shared" si="0"/>
        <v>1850000</v>
      </c>
      <c r="D25" s="174">
        <f t="shared" si="1"/>
        <v>12500</v>
      </c>
      <c r="E25" s="175">
        <f t="shared" si="2"/>
        <v>32375.000000000004</v>
      </c>
      <c r="F25" s="201"/>
      <c r="G25" s="201"/>
    </row>
    <row r="26" spans="1:8" s="17" customFormat="1" ht="15">
      <c r="A26" s="186" t="s">
        <v>29</v>
      </c>
      <c r="B26" s="187">
        <v>90</v>
      </c>
      <c r="C26" s="202">
        <f t="shared" si="0"/>
        <v>1837500</v>
      </c>
      <c r="D26" s="179"/>
      <c r="E26" s="180">
        <f t="shared" si="2"/>
        <v>32156.250000000004</v>
      </c>
      <c r="F26" s="188"/>
      <c r="G26" s="188"/>
      <c r="H26" s="18">
        <f>SUM(D25:D28)</f>
        <v>25000</v>
      </c>
    </row>
    <row r="27" spans="1:7" s="17" customFormat="1" ht="15">
      <c r="A27" s="186" t="s">
        <v>30</v>
      </c>
      <c r="B27" s="187">
        <v>90</v>
      </c>
      <c r="C27" s="202">
        <f t="shared" si="0"/>
        <v>1837500</v>
      </c>
      <c r="D27" s="179">
        <v>12500</v>
      </c>
      <c r="E27" s="180">
        <f t="shared" si="2"/>
        <v>32156.250000000004</v>
      </c>
      <c r="F27" s="188"/>
      <c r="G27" s="188"/>
    </row>
    <row r="28" spans="1:7" s="17" customFormat="1" ht="15.75" thickBot="1">
      <c r="A28" s="189" t="s">
        <v>31</v>
      </c>
      <c r="B28" s="190">
        <v>90</v>
      </c>
      <c r="C28" s="203">
        <f t="shared" si="0"/>
        <v>1825000</v>
      </c>
      <c r="D28" s="184"/>
      <c r="E28" s="185">
        <f t="shared" si="2"/>
        <v>31937.500000000004</v>
      </c>
      <c r="F28" s="191">
        <f>SUM(D25:D28)</f>
        <v>25000</v>
      </c>
      <c r="G28" s="191">
        <f>SUM(E25:E28)</f>
        <v>128625.00000000001</v>
      </c>
    </row>
    <row r="29" spans="1:8" ht="15">
      <c r="A29" s="171" t="s">
        <v>32</v>
      </c>
      <c r="B29" s="172">
        <v>90</v>
      </c>
      <c r="C29" s="173">
        <f t="shared" si="0"/>
        <v>1825000</v>
      </c>
      <c r="D29" s="174">
        <v>12500</v>
      </c>
      <c r="E29" s="175">
        <f t="shared" si="2"/>
        <v>31937.500000000004</v>
      </c>
      <c r="F29" s="175"/>
      <c r="G29" s="175"/>
      <c r="H29" s="169">
        <f>C29/12</f>
        <v>152083.33333333334</v>
      </c>
    </row>
    <row r="30" spans="1:8" ht="15">
      <c r="A30" s="176" t="s">
        <v>33</v>
      </c>
      <c r="B30" s="177">
        <v>90</v>
      </c>
      <c r="C30" s="178">
        <f t="shared" si="0"/>
        <v>1812500</v>
      </c>
      <c r="D30" s="179">
        <v>12500</v>
      </c>
      <c r="E30" s="180">
        <f t="shared" si="2"/>
        <v>31718.750000000004</v>
      </c>
      <c r="F30" s="180"/>
      <c r="G30" s="180"/>
      <c r="H30" s="14">
        <f>SUM(D29:D32)</f>
        <v>50528</v>
      </c>
    </row>
    <row r="31" spans="1:7" ht="15">
      <c r="A31" s="176" t="s">
        <v>34</v>
      </c>
      <c r="B31" s="177">
        <v>90</v>
      </c>
      <c r="C31" s="178">
        <f t="shared" si="0"/>
        <v>1800000</v>
      </c>
      <c r="D31" s="179">
        <v>13028</v>
      </c>
      <c r="E31" s="180">
        <f t="shared" si="2"/>
        <v>31500.000000000004</v>
      </c>
      <c r="F31" s="180"/>
      <c r="G31" s="180"/>
    </row>
    <row r="32" spans="1:7" ht="15.75" thickBot="1">
      <c r="A32" s="181" t="s">
        <v>35</v>
      </c>
      <c r="B32" s="182">
        <v>90</v>
      </c>
      <c r="C32" s="183">
        <f t="shared" si="0"/>
        <v>1786972</v>
      </c>
      <c r="D32" s="184">
        <v>12500</v>
      </c>
      <c r="E32" s="185">
        <f t="shared" si="2"/>
        <v>31272.010000000006</v>
      </c>
      <c r="F32" s="185">
        <f>SUM(D29:D32)</f>
        <v>50528</v>
      </c>
      <c r="G32" s="185">
        <f>SUM(E29:E32)</f>
        <v>126428.26000000002</v>
      </c>
    </row>
    <row r="33" spans="1:7" s="17" customFormat="1" ht="15">
      <c r="A33" s="198" t="s">
        <v>36</v>
      </c>
      <c r="B33" s="199">
        <v>90</v>
      </c>
      <c r="C33" s="200">
        <f t="shared" si="0"/>
        <v>1774472</v>
      </c>
      <c r="D33" s="204">
        <v>150000</v>
      </c>
      <c r="E33" s="201">
        <f t="shared" si="2"/>
        <v>31053.260000000006</v>
      </c>
      <c r="F33" s="201"/>
      <c r="G33" s="201"/>
    </row>
    <row r="34" spans="1:8" s="17" customFormat="1" ht="15">
      <c r="A34" s="186" t="s">
        <v>37</v>
      </c>
      <c r="B34" s="187">
        <v>90</v>
      </c>
      <c r="C34" s="202">
        <f t="shared" si="0"/>
        <v>1624472</v>
      </c>
      <c r="D34" s="205">
        <f>D33</f>
        <v>150000</v>
      </c>
      <c r="E34" s="188">
        <f t="shared" si="2"/>
        <v>28428.260000000006</v>
      </c>
      <c r="F34" s="188"/>
      <c r="G34" s="188"/>
      <c r="H34" s="18">
        <f>SUM(D33:D36)</f>
        <v>750523</v>
      </c>
    </row>
    <row r="35" spans="1:7" s="17" customFormat="1" ht="15">
      <c r="A35" s="186" t="s">
        <v>38</v>
      </c>
      <c r="B35" s="187">
        <v>90</v>
      </c>
      <c r="C35" s="202">
        <f t="shared" si="0"/>
        <v>1474472</v>
      </c>
      <c r="D35" s="205">
        <v>225000</v>
      </c>
      <c r="E35" s="188">
        <f t="shared" si="2"/>
        <v>25803.260000000006</v>
      </c>
      <c r="F35" s="188"/>
      <c r="G35" s="188"/>
    </row>
    <row r="36" spans="1:7" s="17" customFormat="1" ht="15.75" thickBot="1">
      <c r="A36" s="192" t="s">
        <v>39</v>
      </c>
      <c r="B36" s="193">
        <v>90</v>
      </c>
      <c r="C36" s="207">
        <f t="shared" si="0"/>
        <v>1249472</v>
      </c>
      <c r="D36" s="208">
        <v>225523</v>
      </c>
      <c r="E36" s="197">
        <f t="shared" si="2"/>
        <v>21865.760000000002</v>
      </c>
      <c r="F36" s="197">
        <f>SUM(D33:D36)</f>
        <v>750523</v>
      </c>
      <c r="G36" s="197">
        <f>SUM(E33:E36)</f>
        <v>107150.54000000001</v>
      </c>
    </row>
    <row r="37" spans="1:7" ht="15">
      <c r="A37" s="171" t="s">
        <v>40</v>
      </c>
      <c r="B37" s="172">
        <v>90</v>
      </c>
      <c r="C37" s="173">
        <f t="shared" si="0"/>
        <v>1023949</v>
      </c>
      <c r="D37" s="204">
        <v>150000</v>
      </c>
      <c r="E37" s="175">
        <f>B37*C37*0.07/360</f>
        <v>17919.107500000002</v>
      </c>
      <c r="F37" s="175"/>
      <c r="G37" s="175"/>
    </row>
    <row r="38" spans="1:8" ht="15">
      <c r="A38" s="176" t="s">
        <v>41</v>
      </c>
      <c r="B38" s="177">
        <v>90</v>
      </c>
      <c r="C38" s="178">
        <f t="shared" si="0"/>
        <v>873949</v>
      </c>
      <c r="D38" s="205">
        <v>150000</v>
      </c>
      <c r="E38" s="180">
        <f t="shared" si="2"/>
        <v>15294.1075</v>
      </c>
      <c r="F38" s="180"/>
      <c r="G38" s="180"/>
      <c r="H38" s="14">
        <f>SUM(D37:D40)</f>
        <v>600000</v>
      </c>
    </row>
    <row r="39" spans="1:7" ht="15">
      <c r="A39" s="176" t="s">
        <v>42</v>
      </c>
      <c r="B39" s="177">
        <v>90</v>
      </c>
      <c r="C39" s="178">
        <f t="shared" si="0"/>
        <v>723949</v>
      </c>
      <c r="D39" s="205">
        <v>150000</v>
      </c>
      <c r="E39" s="180">
        <f t="shared" si="2"/>
        <v>12669.1075</v>
      </c>
      <c r="F39" s="180"/>
      <c r="G39" s="180"/>
    </row>
    <row r="40" spans="1:7" ht="15.75" thickBot="1">
      <c r="A40" s="181" t="s">
        <v>43</v>
      </c>
      <c r="B40" s="182">
        <v>90</v>
      </c>
      <c r="C40" s="183">
        <f>C39-D39</f>
        <v>573949</v>
      </c>
      <c r="D40" s="206">
        <f>D39</f>
        <v>150000</v>
      </c>
      <c r="E40" s="185">
        <f t="shared" si="2"/>
        <v>10044.1075</v>
      </c>
      <c r="F40" s="185">
        <f>SUM(D37:D40)</f>
        <v>600000</v>
      </c>
      <c r="G40" s="185">
        <f>SUM(E37:E40)</f>
        <v>55926.43</v>
      </c>
    </row>
    <row r="41" spans="1:7" ht="15">
      <c r="A41" s="171" t="s">
        <v>44</v>
      </c>
      <c r="B41" s="172">
        <v>90</v>
      </c>
      <c r="C41" s="173">
        <f>C40-D40</f>
        <v>423949</v>
      </c>
      <c r="D41" s="204">
        <v>100000</v>
      </c>
      <c r="E41" s="175">
        <f>B41*C41*0.07/360</f>
        <v>7419.1075</v>
      </c>
      <c r="F41" s="175"/>
      <c r="G41" s="175"/>
    </row>
    <row r="42" spans="1:8" ht="15">
      <c r="A42" s="176" t="s">
        <v>45</v>
      </c>
      <c r="B42" s="177">
        <v>90</v>
      </c>
      <c r="C42" s="178">
        <f>C41-D41</f>
        <v>323949</v>
      </c>
      <c r="D42" s="205">
        <v>100000</v>
      </c>
      <c r="E42" s="180">
        <f>B42*C42*0.07/360</f>
        <v>5669.1075</v>
      </c>
      <c r="F42" s="180"/>
      <c r="G42" s="180"/>
      <c r="H42" s="14">
        <f>SUM(D41:D44)</f>
        <v>423949</v>
      </c>
    </row>
    <row r="43" spans="1:7" ht="15">
      <c r="A43" s="176" t="s">
        <v>46</v>
      </c>
      <c r="B43" s="177">
        <v>90</v>
      </c>
      <c r="C43" s="178">
        <f>C42-D42</f>
        <v>223949</v>
      </c>
      <c r="D43" s="205">
        <v>123949</v>
      </c>
      <c r="E43" s="180">
        <f>B43*C43*0.07/360</f>
        <v>3919.1075000000005</v>
      </c>
      <c r="F43" s="180"/>
      <c r="G43" s="180"/>
    </row>
    <row r="44" spans="1:7" ht="15.75" thickBot="1">
      <c r="A44" s="181" t="s">
        <v>47</v>
      </c>
      <c r="B44" s="182">
        <v>90</v>
      </c>
      <c r="C44" s="183">
        <f>C43-D43</f>
        <v>100000</v>
      </c>
      <c r="D44" s="206">
        <v>100000</v>
      </c>
      <c r="E44" s="185">
        <f>B44*C44*0.07/360</f>
        <v>1750.0000000000002</v>
      </c>
      <c r="F44" s="185">
        <f>SUM(D41:D44)</f>
        <v>423949</v>
      </c>
      <c r="G44" s="185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="90" zoomScaleNormal="90" zoomScalePageLayoutView="0" workbookViewId="0" topLeftCell="A23">
      <selection activeCell="K9" sqref="K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  <col min="12" max="12" width="16.421875" style="0" customWidth="1"/>
    <col min="13" max="13" width="11.00390625" style="0" bestFit="1" customWidth="1"/>
  </cols>
  <sheetData>
    <row r="1" spans="1:11" ht="26.25" customHeight="1">
      <c r="A1" s="691" t="s">
        <v>212</v>
      </c>
      <c r="B1" s="691"/>
      <c r="C1" s="691"/>
      <c r="D1" s="691"/>
      <c r="E1" s="691"/>
      <c r="F1" s="691"/>
      <c r="G1" s="698"/>
      <c r="H1" s="694" t="s">
        <v>217</v>
      </c>
      <c r="I1" s="696" t="s">
        <v>216</v>
      </c>
      <c r="J1" s="692" t="s">
        <v>214</v>
      </c>
      <c r="K1" s="693"/>
    </row>
    <row r="2" spans="1:11" ht="24" customHeight="1" thickBot="1">
      <c r="A2" s="699"/>
      <c r="B2" s="699"/>
      <c r="C2" s="699"/>
      <c r="D2" s="699"/>
      <c r="E2" s="699"/>
      <c r="F2" s="699"/>
      <c r="G2" s="700"/>
      <c r="H2" s="695"/>
      <c r="I2" s="697"/>
      <c r="J2" s="229" t="s">
        <v>218</v>
      </c>
      <c r="K2" s="230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209" t="s">
        <v>5</v>
      </c>
      <c r="H3" s="219"/>
      <c r="I3" s="219"/>
      <c r="J3" s="231"/>
      <c r="K3" s="231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210"/>
      <c r="H4" s="220">
        <v>2000000</v>
      </c>
      <c r="I4" s="220">
        <v>1265000</v>
      </c>
      <c r="J4" s="226">
        <f>H4+F4</f>
        <v>2000000</v>
      </c>
      <c r="K4" s="226">
        <f>I4</f>
        <v>1265000</v>
      </c>
    </row>
    <row r="5" spans="1:11" ht="0.75" customHeight="1" thickBot="1">
      <c r="A5" s="21" t="s">
        <v>7</v>
      </c>
      <c r="B5" s="15">
        <v>90</v>
      </c>
      <c r="C5" s="22">
        <f>C4</f>
        <v>11500000</v>
      </c>
      <c r="D5" s="12"/>
      <c r="E5" s="170">
        <f>B5*C5*5.5%/360</f>
        <v>158125</v>
      </c>
      <c r="F5" s="170">
        <v>0</v>
      </c>
      <c r="G5" s="211">
        <f>E4+E5</f>
        <v>158125</v>
      </c>
      <c r="H5" s="219"/>
      <c r="I5" s="219"/>
      <c r="J5" s="231"/>
      <c r="K5" s="231"/>
    </row>
    <row r="6" spans="1:11" s="2" customFormat="1" ht="15">
      <c r="A6" s="171" t="s">
        <v>8</v>
      </c>
      <c r="B6" s="172">
        <v>90</v>
      </c>
      <c r="C6" s="173">
        <v>18400000</v>
      </c>
      <c r="D6" s="174"/>
      <c r="E6" s="175">
        <f>B6*C6*0.07/360</f>
        <v>322000.00000000006</v>
      </c>
      <c r="F6" s="175"/>
      <c r="G6" s="212"/>
      <c r="H6" s="221"/>
      <c r="I6" s="221"/>
      <c r="J6" s="232"/>
      <c r="K6" s="232"/>
    </row>
    <row r="7" spans="1:11" ht="15">
      <c r="A7" s="176" t="s">
        <v>9</v>
      </c>
      <c r="B7" s="177">
        <v>90</v>
      </c>
      <c r="C7" s="178">
        <f aca="true" t="shared" si="0" ref="C7:C40">C6-D6</f>
        <v>18400000</v>
      </c>
      <c r="D7" s="179"/>
      <c r="E7" s="180">
        <f>B7*C7*0.07/360</f>
        <v>322000.00000000006</v>
      </c>
      <c r="F7" s="180"/>
      <c r="G7" s="213"/>
      <c r="H7" s="220">
        <f>SUM(D6:D9)</f>
        <v>0</v>
      </c>
      <c r="I7" s="219"/>
      <c r="J7" s="231"/>
      <c r="K7" s="231"/>
    </row>
    <row r="8" spans="1:11" ht="15">
      <c r="A8" s="176" t="s">
        <v>10</v>
      </c>
      <c r="B8" s="177">
        <v>90</v>
      </c>
      <c r="C8" s="178">
        <f t="shared" si="0"/>
        <v>18400000</v>
      </c>
      <c r="D8" s="179"/>
      <c r="E8" s="180">
        <f aca="true" t="shared" si="1" ref="E8:E41">B8*C8*0.07/360</f>
        <v>322000.00000000006</v>
      </c>
      <c r="F8" s="180"/>
      <c r="G8" s="213"/>
      <c r="H8" s="219"/>
      <c r="I8" s="219"/>
      <c r="J8" s="231"/>
      <c r="K8" s="231"/>
    </row>
    <row r="9" spans="1:13" ht="15.75" thickBot="1">
      <c r="A9" s="181" t="s">
        <v>11</v>
      </c>
      <c r="B9" s="182">
        <v>90</v>
      </c>
      <c r="C9" s="183">
        <v>32400000</v>
      </c>
      <c r="D9" s="184"/>
      <c r="E9" s="185">
        <f t="shared" si="1"/>
        <v>567000.0000000001</v>
      </c>
      <c r="F9" s="185">
        <f>D7+D8+D9+D6</f>
        <v>0</v>
      </c>
      <c r="G9" s="214">
        <f>SUM(E6:E9)</f>
        <v>1533000.0000000005</v>
      </c>
      <c r="H9" s="220">
        <v>3000000</v>
      </c>
      <c r="I9" s="220">
        <v>1155000</v>
      </c>
      <c r="J9" s="226">
        <f>H9+F9</f>
        <v>3000000</v>
      </c>
      <c r="K9" s="226">
        <f>I9+G9</f>
        <v>2688000.0000000005</v>
      </c>
      <c r="L9" s="14">
        <v>14000000</v>
      </c>
      <c r="M9" t="s">
        <v>418</v>
      </c>
    </row>
    <row r="10" spans="1:11" ht="15">
      <c r="A10" s="171" t="s">
        <v>12</v>
      </c>
      <c r="B10" s="172">
        <v>90</v>
      </c>
      <c r="C10" s="173">
        <f t="shared" si="0"/>
        <v>32400000</v>
      </c>
      <c r="D10" s="174"/>
      <c r="E10" s="175">
        <f t="shared" si="1"/>
        <v>567000.0000000001</v>
      </c>
      <c r="F10" s="175"/>
      <c r="G10" s="212"/>
      <c r="H10" s="219"/>
      <c r="I10" s="219"/>
      <c r="J10" s="226">
        <f aca="true" t="shared" si="2" ref="J10:J44">H10+F10</f>
        <v>0</v>
      </c>
      <c r="K10" s="226">
        <f aca="true" t="shared" si="3" ref="K10:K45">I10+G10</f>
        <v>0</v>
      </c>
    </row>
    <row r="11" spans="1:11" ht="15">
      <c r="A11" s="176" t="s">
        <v>13</v>
      </c>
      <c r="B11" s="177">
        <v>90</v>
      </c>
      <c r="C11" s="178">
        <f t="shared" si="0"/>
        <v>32400000</v>
      </c>
      <c r="D11" s="179"/>
      <c r="E11" s="180">
        <f t="shared" si="1"/>
        <v>567000.0000000001</v>
      </c>
      <c r="F11" s="180"/>
      <c r="G11" s="213"/>
      <c r="H11" s="220"/>
      <c r="I11" s="219"/>
      <c r="J11" s="226">
        <f t="shared" si="2"/>
        <v>0</v>
      </c>
      <c r="K11" s="226">
        <f t="shared" si="3"/>
        <v>0</v>
      </c>
    </row>
    <row r="12" spans="1:11" ht="15">
      <c r="A12" s="176" t="s">
        <v>14</v>
      </c>
      <c r="B12" s="177">
        <v>90</v>
      </c>
      <c r="C12" s="178">
        <f t="shared" si="0"/>
        <v>32400000</v>
      </c>
      <c r="D12" s="179"/>
      <c r="E12" s="180">
        <f t="shared" si="1"/>
        <v>567000.0000000001</v>
      </c>
      <c r="F12" s="180"/>
      <c r="G12" s="213"/>
      <c r="H12" s="219"/>
      <c r="I12" s="219"/>
      <c r="J12" s="226">
        <f t="shared" si="2"/>
        <v>0</v>
      </c>
      <c r="K12" s="226">
        <f t="shared" si="3"/>
        <v>0</v>
      </c>
    </row>
    <row r="13" spans="1:11" ht="15.75" thickBot="1">
      <c r="A13" s="181" t="s">
        <v>15</v>
      </c>
      <c r="B13" s="182">
        <v>90</v>
      </c>
      <c r="C13" s="183">
        <f t="shared" si="0"/>
        <v>32400000</v>
      </c>
      <c r="D13" s="184"/>
      <c r="E13" s="185">
        <f t="shared" si="1"/>
        <v>567000.0000000001</v>
      </c>
      <c r="F13" s="185">
        <f>SUM(D10:D13)</f>
        <v>0</v>
      </c>
      <c r="G13" s="214">
        <f>SUM(E10:E13)</f>
        <v>2268000.0000000005</v>
      </c>
      <c r="H13" s="220">
        <v>3000000</v>
      </c>
      <c r="I13" s="220">
        <v>990000</v>
      </c>
      <c r="J13" s="226">
        <f>H13+F13</f>
        <v>3000000</v>
      </c>
      <c r="K13" s="226">
        <f t="shared" si="3"/>
        <v>3258000.0000000005</v>
      </c>
    </row>
    <row r="14" spans="1:11" ht="15">
      <c r="A14" s="171" t="s">
        <v>16</v>
      </c>
      <c r="B14" s="172">
        <v>90</v>
      </c>
      <c r="C14" s="173">
        <f t="shared" si="0"/>
        <v>32400000</v>
      </c>
      <c r="D14" s="174"/>
      <c r="E14" s="175">
        <f t="shared" si="1"/>
        <v>567000.0000000001</v>
      </c>
      <c r="F14" s="175"/>
      <c r="G14" s="212"/>
      <c r="H14" s="219"/>
      <c r="I14" s="220"/>
      <c r="J14" s="226">
        <f t="shared" si="2"/>
        <v>0</v>
      </c>
      <c r="K14" s="226">
        <f t="shared" si="3"/>
        <v>0</v>
      </c>
    </row>
    <row r="15" spans="1:11" ht="15">
      <c r="A15" s="176" t="s">
        <v>17</v>
      </c>
      <c r="B15" s="177">
        <v>90</v>
      </c>
      <c r="C15" s="178">
        <f t="shared" si="0"/>
        <v>32400000</v>
      </c>
      <c r="D15" s="179"/>
      <c r="E15" s="180">
        <f t="shared" si="1"/>
        <v>567000.0000000001</v>
      </c>
      <c r="F15" s="180"/>
      <c r="G15" s="213"/>
      <c r="H15" s="220"/>
      <c r="I15" s="219"/>
      <c r="J15" s="226">
        <f t="shared" si="2"/>
        <v>0</v>
      </c>
      <c r="K15" s="226">
        <f t="shared" si="3"/>
        <v>0</v>
      </c>
    </row>
    <row r="16" spans="1:11" ht="15">
      <c r="A16" s="176" t="s">
        <v>18</v>
      </c>
      <c r="B16" s="177">
        <v>90</v>
      </c>
      <c r="C16" s="178">
        <f t="shared" si="0"/>
        <v>32400000</v>
      </c>
      <c r="D16" s="179"/>
      <c r="E16" s="180">
        <f t="shared" si="1"/>
        <v>567000.0000000001</v>
      </c>
      <c r="F16" s="180"/>
      <c r="G16" s="213"/>
      <c r="H16" s="219"/>
      <c r="I16" s="219"/>
      <c r="J16" s="226">
        <f t="shared" si="2"/>
        <v>0</v>
      </c>
      <c r="K16" s="226">
        <f t="shared" si="3"/>
        <v>0</v>
      </c>
    </row>
    <row r="17" spans="1:11" ht="15.75" thickBot="1">
      <c r="A17" s="181" t="s">
        <v>19</v>
      </c>
      <c r="B17" s="182">
        <v>90</v>
      </c>
      <c r="C17" s="183">
        <f t="shared" si="0"/>
        <v>32400000</v>
      </c>
      <c r="D17" s="184"/>
      <c r="E17" s="185">
        <f t="shared" si="1"/>
        <v>567000.0000000001</v>
      </c>
      <c r="F17" s="185">
        <f>SUM(D14:D17)</f>
        <v>0</v>
      </c>
      <c r="G17" s="214">
        <f>SUM(E14:E17)</f>
        <v>2268000.0000000005</v>
      </c>
      <c r="H17" s="220">
        <v>3000000</v>
      </c>
      <c r="I17" s="220">
        <v>825000</v>
      </c>
      <c r="J17" s="226">
        <f t="shared" si="2"/>
        <v>3000000</v>
      </c>
      <c r="K17" s="226">
        <f t="shared" si="3"/>
        <v>3093000.0000000005</v>
      </c>
    </row>
    <row r="18" spans="1:30" ht="15">
      <c r="A18" s="171" t="s">
        <v>20</v>
      </c>
      <c r="B18" s="172">
        <v>90</v>
      </c>
      <c r="C18" s="173">
        <f t="shared" si="0"/>
        <v>32400000</v>
      </c>
      <c r="D18" s="174"/>
      <c r="E18" s="175">
        <f t="shared" si="1"/>
        <v>567000.0000000001</v>
      </c>
      <c r="F18" s="175"/>
      <c r="G18" s="212"/>
      <c r="H18" s="219"/>
      <c r="I18" s="219"/>
      <c r="J18" s="226">
        <f t="shared" si="2"/>
        <v>0</v>
      </c>
      <c r="K18" s="226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176" t="s">
        <v>21</v>
      </c>
      <c r="B19" s="177">
        <v>90</v>
      </c>
      <c r="C19" s="178">
        <f t="shared" si="0"/>
        <v>32400000</v>
      </c>
      <c r="D19" s="179"/>
      <c r="E19" s="180">
        <f t="shared" si="1"/>
        <v>567000.0000000001</v>
      </c>
      <c r="F19" s="180"/>
      <c r="G19" s="213"/>
      <c r="H19" s="220"/>
      <c r="I19" s="219"/>
      <c r="J19" s="226">
        <f t="shared" si="2"/>
        <v>0</v>
      </c>
      <c r="K19" s="226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186" t="s">
        <v>22</v>
      </c>
      <c r="B20" s="187">
        <v>90</v>
      </c>
      <c r="C20" s="178">
        <f t="shared" si="0"/>
        <v>32400000</v>
      </c>
      <c r="D20" s="179">
        <v>1500000</v>
      </c>
      <c r="E20" s="180">
        <f t="shared" si="1"/>
        <v>567000.0000000001</v>
      </c>
      <c r="F20" s="188"/>
      <c r="G20" s="215"/>
      <c r="H20" s="222"/>
      <c r="I20" s="223"/>
      <c r="J20" s="226">
        <f t="shared" si="2"/>
        <v>0</v>
      </c>
      <c r="K20" s="226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189" t="s">
        <v>23</v>
      </c>
      <c r="B21" s="190">
        <v>90</v>
      </c>
      <c r="C21" s="183">
        <f t="shared" si="0"/>
        <v>30900000</v>
      </c>
      <c r="D21" s="184">
        <v>1000000</v>
      </c>
      <c r="E21" s="185">
        <f t="shared" si="1"/>
        <v>540750.0000000001</v>
      </c>
      <c r="F21" s="191">
        <f>SUM(D18:D21)</f>
        <v>2500000</v>
      </c>
      <c r="G21" s="216">
        <f>SUM(E18:E21)</f>
        <v>2241750.0000000005</v>
      </c>
      <c r="H21" s="220">
        <v>3000000</v>
      </c>
      <c r="I21" s="224">
        <v>660000</v>
      </c>
      <c r="J21" s="226">
        <f t="shared" si="2"/>
        <v>5500000</v>
      </c>
      <c r="K21" s="226">
        <f t="shared" si="3"/>
        <v>2901750.0000000005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171" t="s">
        <v>24</v>
      </c>
      <c r="B22" s="172">
        <v>90</v>
      </c>
      <c r="C22" s="173">
        <f t="shared" si="0"/>
        <v>29900000</v>
      </c>
      <c r="D22" s="174"/>
      <c r="E22" s="175">
        <f t="shared" si="1"/>
        <v>523250.00000000006</v>
      </c>
      <c r="F22" s="175"/>
      <c r="G22" s="212"/>
      <c r="H22" s="219"/>
      <c r="I22" s="219"/>
      <c r="J22" s="226">
        <f t="shared" si="2"/>
        <v>0</v>
      </c>
      <c r="K22" s="226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176" t="s">
        <v>25</v>
      </c>
      <c r="B23" s="177">
        <v>90</v>
      </c>
      <c r="C23" s="178">
        <f t="shared" si="0"/>
        <v>29900000</v>
      </c>
      <c r="D23" s="179"/>
      <c r="E23" s="180">
        <f t="shared" si="1"/>
        <v>523250.00000000006</v>
      </c>
      <c r="F23" s="180"/>
      <c r="G23" s="213"/>
      <c r="H23" s="220"/>
      <c r="I23" s="219"/>
      <c r="J23" s="226">
        <f t="shared" si="2"/>
        <v>0</v>
      </c>
      <c r="K23" s="226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176" t="s">
        <v>26</v>
      </c>
      <c r="B24" s="177">
        <v>90</v>
      </c>
      <c r="C24" s="178">
        <f t="shared" si="0"/>
        <v>29900000</v>
      </c>
      <c r="D24" s="179">
        <v>1500000</v>
      </c>
      <c r="E24" s="180">
        <f t="shared" si="1"/>
        <v>523250.00000000006</v>
      </c>
      <c r="F24" s="180"/>
      <c r="G24" s="213"/>
      <c r="H24" s="219"/>
      <c r="I24" s="219"/>
      <c r="J24" s="226">
        <f t="shared" si="2"/>
        <v>0</v>
      </c>
      <c r="K24" s="226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181" t="s">
        <v>27</v>
      </c>
      <c r="B25" s="182">
        <v>90</v>
      </c>
      <c r="C25" s="183">
        <f t="shared" si="0"/>
        <v>28400000</v>
      </c>
      <c r="D25" s="184">
        <v>1000000</v>
      </c>
      <c r="E25" s="185">
        <f t="shared" si="1"/>
        <v>497000.00000000006</v>
      </c>
      <c r="F25" s="185">
        <f>SUM(D22:D25)</f>
        <v>2500000</v>
      </c>
      <c r="G25" s="214">
        <f>SUM(E22:E25)</f>
        <v>2066750.0000000002</v>
      </c>
      <c r="H25" s="220">
        <v>3000000</v>
      </c>
      <c r="I25" s="220">
        <v>495000</v>
      </c>
      <c r="J25" s="226">
        <f t="shared" si="2"/>
        <v>5500000</v>
      </c>
      <c r="K25" s="226">
        <f t="shared" si="3"/>
        <v>2561750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198" t="s">
        <v>28</v>
      </c>
      <c r="B26" s="199">
        <v>90</v>
      </c>
      <c r="C26" s="200">
        <f t="shared" si="0"/>
        <v>27400000</v>
      </c>
      <c r="D26" s="174"/>
      <c r="E26" s="175">
        <f t="shared" si="1"/>
        <v>479500.00000000006</v>
      </c>
      <c r="F26" s="201"/>
      <c r="G26" s="217"/>
      <c r="H26" s="223"/>
      <c r="I26" s="223"/>
      <c r="J26" s="226">
        <f t="shared" si="2"/>
        <v>0</v>
      </c>
      <c r="K26" s="226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186" t="s">
        <v>29</v>
      </c>
      <c r="B27" s="187">
        <v>90</v>
      </c>
      <c r="C27" s="202">
        <f t="shared" si="0"/>
        <v>27400000</v>
      </c>
      <c r="D27" s="179">
        <v>1000000</v>
      </c>
      <c r="E27" s="180">
        <f t="shared" si="1"/>
        <v>479500.00000000006</v>
      </c>
      <c r="F27" s="188"/>
      <c r="G27" s="215"/>
      <c r="H27" s="224"/>
      <c r="I27" s="223"/>
      <c r="J27" s="226">
        <f t="shared" si="2"/>
        <v>0</v>
      </c>
      <c r="K27" s="226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186" t="s">
        <v>30</v>
      </c>
      <c r="B28" s="187">
        <v>90</v>
      </c>
      <c r="C28" s="202">
        <f t="shared" si="0"/>
        <v>26400000</v>
      </c>
      <c r="D28" s="179">
        <v>1000000</v>
      </c>
      <c r="E28" s="180">
        <f t="shared" si="1"/>
        <v>462000.00000000006</v>
      </c>
      <c r="F28" s="188"/>
      <c r="G28" s="215"/>
      <c r="H28" s="223"/>
      <c r="I28" s="223"/>
      <c r="J28" s="226">
        <f t="shared" si="2"/>
        <v>0</v>
      </c>
      <c r="K28" s="226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192" t="s">
        <v>31</v>
      </c>
      <c r="B29" s="193">
        <v>90</v>
      </c>
      <c r="C29" s="207">
        <f t="shared" si="0"/>
        <v>25400000</v>
      </c>
      <c r="D29" s="195">
        <v>1000000</v>
      </c>
      <c r="E29" s="196">
        <f t="shared" si="1"/>
        <v>444500.00000000006</v>
      </c>
      <c r="F29" s="197">
        <f>SUM(D26:D29)</f>
        <v>3000000</v>
      </c>
      <c r="G29" s="218">
        <f>SUM(E26:E29)</f>
        <v>1865500.0000000002</v>
      </c>
      <c r="H29" s="220">
        <v>3000000</v>
      </c>
      <c r="I29" s="224">
        <v>360000</v>
      </c>
      <c r="J29" s="226">
        <f t="shared" si="2"/>
        <v>6000000</v>
      </c>
      <c r="K29" s="226">
        <f t="shared" si="3"/>
        <v>2225500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171" t="s">
        <v>32</v>
      </c>
      <c r="B30" s="172">
        <v>90</v>
      </c>
      <c r="C30" s="173">
        <f t="shared" si="0"/>
        <v>24400000</v>
      </c>
      <c r="D30" s="174">
        <v>500000</v>
      </c>
      <c r="E30" s="175">
        <f t="shared" si="1"/>
        <v>427000</v>
      </c>
      <c r="F30" s="175"/>
      <c r="G30" s="212"/>
      <c r="H30" s="225"/>
      <c r="I30" s="219"/>
      <c r="J30" s="226">
        <f t="shared" si="2"/>
        <v>0</v>
      </c>
      <c r="K30" s="226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176" t="s">
        <v>33</v>
      </c>
      <c r="B31" s="177">
        <v>90</v>
      </c>
      <c r="C31" s="178">
        <f t="shared" si="0"/>
        <v>23900000</v>
      </c>
      <c r="D31" s="179">
        <v>1500000</v>
      </c>
      <c r="E31" s="180">
        <f t="shared" si="1"/>
        <v>418250</v>
      </c>
      <c r="F31" s="180"/>
      <c r="G31" s="213"/>
      <c r="H31" s="220"/>
      <c r="I31" s="219"/>
      <c r="J31" s="226">
        <f t="shared" si="2"/>
        <v>0</v>
      </c>
      <c r="K31" s="226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176" t="s">
        <v>34</v>
      </c>
      <c r="B32" s="177">
        <v>90</v>
      </c>
      <c r="C32" s="178">
        <f t="shared" si="0"/>
        <v>22400000</v>
      </c>
      <c r="D32" s="179">
        <v>1500000</v>
      </c>
      <c r="E32" s="180">
        <f t="shared" si="1"/>
        <v>392000</v>
      </c>
      <c r="F32" s="180"/>
      <c r="G32" s="213"/>
      <c r="H32" s="219"/>
      <c r="I32" s="219"/>
      <c r="J32" s="226">
        <f t="shared" si="2"/>
        <v>0</v>
      </c>
      <c r="K32" s="226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181" t="s">
        <v>35</v>
      </c>
      <c r="B33" s="182">
        <v>90</v>
      </c>
      <c r="C33" s="183">
        <f t="shared" si="0"/>
        <v>20900000</v>
      </c>
      <c r="D33" s="184">
        <v>1500000</v>
      </c>
      <c r="E33" s="185">
        <f t="shared" si="1"/>
        <v>365750.00000000006</v>
      </c>
      <c r="F33" s="185">
        <f>SUM(D30:D33)</f>
        <v>5000000</v>
      </c>
      <c r="G33" s="214">
        <f>SUM(E30:E33)</f>
        <v>1603000</v>
      </c>
      <c r="H33" s="220">
        <v>3000000</v>
      </c>
      <c r="I33" s="220">
        <v>180000</v>
      </c>
      <c r="J33" s="226">
        <f t="shared" si="2"/>
        <v>8000000</v>
      </c>
      <c r="K33" s="226">
        <f t="shared" si="3"/>
        <v>1783000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198" t="s">
        <v>36</v>
      </c>
      <c r="B34" s="199">
        <v>90</v>
      </c>
      <c r="C34" s="200">
        <f t="shared" si="0"/>
        <v>19400000</v>
      </c>
      <c r="D34" s="204">
        <v>1475000</v>
      </c>
      <c r="E34" s="201">
        <f t="shared" si="1"/>
        <v>339500.00000000006</v>
      </c>
      <c r="F34" s="201"/>
      <c r="G34" s="217"/>
      <c r="H34" s="223"/>
      <c r="I34" s="223"/>
      <c r="J34" s="226">
        <f t="shared" si="2"/>
        <v>0</v>
      </c>
      <c r="K34" s="226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186" t="s">
        <v>37</v>
      </c>
      <c r="B35" s="187">
        <v>90</v>
      </c>
      <c r="C35" s="202">
        <f t="shared" si="0"/>
        <v>17925000</v>
      </c>
      <c r="D35" s="205">
        <v>2475000</v>
      </c>
      <c r="E35" s="188">
        <f t="shared" si="1"/>
        <v>313687.50000000006</v>
      </c>
      <c r="F35" s="188"/>
      <c r="G35" s="215"/>
      <c r="H35" s="224"/>
      <c r="I35" s="223"/>
      <c r="J35" s="226">
        <f t="shared" si="2"/>
        <v>0</v>
      </c>
      <c r="K35" s="226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186" t="s">
        <v>38</v>
      </c>
      <c r="B36" s="187">
        <v>90</v>
      </c>
      <c r="C36" s="202">
        <f t="shared" si="0"/>
        <v>15450000</v>
      </c>
      <c r="D36" s="205">
        <v>2725000</v>
      </c>
      <c r="E36" s="188">
        <f t="shared" si="1"/>
        <v>270375.00000000006</v>
      </c>
      <c r="F36" s="188"/>
      <c r="G36" s="215"/>
      <c r="H36" s="223"/>
      <c r="I36" s="223"/>
      <c r="J36" s="226">
        <f t="shared" si="2"/>
        <v>0</v>
      </c>
      <c r="K36" s="226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189" t="s">
        <v>39</v>
      </c>
      <c r="B37" s="190">
        <v>90</v>
      </c>
      <c r="C37" s="203">
        <f t="shared" si="0"/>
        <v>12725000</v>
      </c>
      <c r="D37" s="206">
        <v>2925000</v>
      </c>
      <c r="E37" s="191">
        <f t="shared" si="1"/>
        <v>222687.50000000003</v>
      </c>
      <c r="F37" s="191">
        <f>SUM(D34:D37)</f>
        <v>9600000</v>
      </c>
      <c r="G37" s="216">
        <f>SUM(E34:E37)</f>
        <v>1146250.0000000002</v>
      </c>
      <c r="H37" s="220"/>
      <c r="I37" s="223"/>
      <c r="J37" s="226">
        <f t="shared" si="2"/>
        <v>9600000</v>
      </c>
      <c r="K37" s="226">
        <f t="shared" si="3"/>
        <v>1146250.0000000002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171" t="s">
        <v>40</v>
      </c>
      <c r="B38" s="172">
        <v>90</v>
      </c>
      <c r="C38" s="173">
        <f t="shared" si="0"/>
        <v>9800000</v>
      </c>
      <c r="D38" s="204">
        <v>1250000</v>
      </c>
      <c r="E38" s="175">
        <f>B38*C38*0.07/360</f>
        <v>171500.00000000003</v>
      </c>
      <c r="F38" s="175"/>
      <c r="G38" s="212"/>
      <c r="H38" s="219"/>
      <c r="I38" s="219"/>
      <c r="J38" s="226">
        <f t="shared" si="2"/>
        <v>0</v>
      </c>
      <c r="K38" s="226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176" t="s">
        <v>41</v>
      </c>
      <c r="B39" s="177">
        <v>90</v>
      </c>
      <c r="C39" s="178">
        <f t="shared" si="0"/>
        <v>8550000</v>
      </c>
      <c r="D39" s="205">
        <f>D38</f>
        <v>1250000</v>
      </c>
      <c r="E39" s="180">
        <f t="shared" si="1"/>
        <v>149625.00000000003</v>
      </c>
      <c r="F39" s="180"/>
      <c r="G39" s="213"/>
      <c r="H39" s="220"/>
      <c r="I39" s="219"/>
      <c r="J39" s="226">
        <f t="shared" si="2"/>
        <v>0</v>
      </c>
      <c r="K39" s="226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176" t="s">
        <v>42</v>
      </c>
      <c r="B40" s="177">
        <v>90</v>
      </c>
      <c r="C40" s="178">
        <f t="shared" si="0"/>
        <v>7300000</v>
      </c>
      <c r="D40" s="205">
        <v>1500000</v>
      </c>
      <c r="E40" s="180">
        <f t="shared" si="1"/>
        <v>127750.00000000001</v>
      </c>
      <c r="F40" s="180"/>
      <c r="G40" s="213"/>
      <c r="H40" s="219"/>
      <c r="I40" s="219"/>
      <c r="J40" s="226">
        <f t="shared" si="2"/>
        <v>0</v>
      </c>
      <c r="K40" s="226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181" t="s">
        <v>43</v>
      </c>
      <c r="B41" s="182">
        <v>90</v>
      </c>
      <c r="C41" s="183">
        <f aca="true" t="shared" si="4" ref="C41:C49">C40-D40</f>
        <v>5800000</v>
      </c>
      <c r="D41" s="206">
        <v>1700000</v>
      </c>
      <c r="E41" s="185">
        <f t="shared" si="1"/>
        <v>101500</v>
      </c>
      <c r="F41" s="185">
        <f>SUM(D38:D41)</f>
        <v>5700000</v>
      </c>
      <c r="G41" s="214">
        <f>SUM(E38:E41)</f>
        <v>550375</v>
      </c>
      <c r="H41" s="220"/>
      <c r="I41" s="219"/>
      <c r="J41" s="226">
        <f t="shared" si="2"/>
        <v>5700000</v>
      </c>
      <c r="K41" s="226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171" t="s">
        <v>44</v>
      </c>
      <c r="B42" s="172">
        <v>90</v>
      </c>
      <c r="C42" s="173">
        <f t="shared" si="4"/>
        <v>4100000</v>
      </c>
      <c r="D42" s="204">
        <v>1100000</v>
      </c>
      <c r="E42" s="175">
        <f aca="true" t="shared" si="5" ref="E42:E49">B42*C42*0.07/360</f>
        <v>71750.00000000001</v>
      </c>
      <c r="F42" s="175"/>
      <c r="G42" s="212"/>
      <c r="H42" s="219"/>
      <c r="I42" s="219"/>
      <c r="J42" s="226">
        <f t="shared" si="2"/>
        <v>0</v>
      </c>
      <c r="K42" s="226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176" t="s">
        <v>45</v>
      </c>
      <c r="B43" s="177">
        <v>90</v>
      </c>
      <c r="C43" s="178">
        <f t="shared" si="4"/>
        <v>3000000</v>
      </c>
      <c r="D43" s="205">
        <v>1000000</v>
      </c>
      <c r="E43" s="180">
        <f t="shared" si="5"/>
        <v>52500</v>
      </c>
      <c r="F43" s="180"/>
      <c r="G43" s="213"/>
      <c r="H43" s="220"/>
      <c r="I43" s="219"/>
      <c r="J43" s="226">
        <f t="shared" si="2"/>
        <v>0</v>
      </c>
      <c r="K43" s="226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176" t="s">
        <v>46</v>
      </c>
      <c r="B44" s="177">
        <v>90</v>
      </c>
      <c r="C44" s="178">
        <f t="shared" si="4"/>
        <v>2000000</v>
      </c>
      <c r="D44" s="205">
        <v>1000000</v>
      </c>
      <c r="E44" s="180">
        <f t="shared" si="5"/>
        <v>35000.00000000001</v>
      </c>
      <c r="F44" s="180"/>
      <c r="G44" s="213"/>
      <c r="H44" s="219"/>
      <c r="I44" s="219"/>
      <c r="J44" s="226">
        <f t="shared" si="2"/>
        <v>0</v>
      </c>
      <c r="K44" s="226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181" t="s">
        <v>47</v>
      </c>
      <c r="B45" s="182">
        <v>90</v>
      </c>
      <c r="C45" s="183">
        <f t="shared" si="4"/>
        <v>1000000</v>
      </c>
      <c r="D45" s="206">
        <v>1000000</v>
      </c>
      <c r="E45" s="185">
        <f t="shared" si="5"/>
        <v>17500.000000000004</v>
      </c>
      <c r="F45" s="185">
        <f>SUM(D42:D45)</f>
        <v>4100000</v>
      </c>
      <c r="G45" s="214">
        <f>SUM(E42:E45)</f>
        <v>176750.00000000003</v>
      </c>
      <c r="H45" s="219"/>
      <c r="I45" s="219"/>
      <c r="J45" s="226">
        <f>H45+F45</f>
        <v>4100000</v>
      </c>
      <c r="K45" s="226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">
      <c r="A46" s="171" t="s">
        <v>44</v>
      </c>
      <c r="B46" s="172">
        <v>90</v>
      </c>
      <c r="C46" s="173">
        <f t="shared" si="4"/>
        <v>0</v>
      </c>
      <c r="D46" s="204"/>
      <c r="E46" s="175">
        <f t="shared" si="5"/>
        <v>0</v>
      </c>
      <c r="F46" s="175"/>
      <c r="G46" s="212"/>
      <c r="H46" s="219"/>
      <c r="I46" s="219"/>
      <c r="J46" s="226">
        <f aca="true" t="shared" si="6" ref="J46:K49">H46+F46</f>
        <v>0</v>
      </c>
      <c r="K46" s="226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">
      <c r="A47" s="176" t="s">
        <v>45</v>
      </c>
      <c r="B47" s="177">
        <v>90</v>
      </c>
      <c r="C47" s="178">
        <f t="shared" si="4"/>
        <v>0</v>
      </c>
      <c r="D47" s="205"/>
      <c r="E47" s="180">
        <f t="shared" si="5"/>
        <v>0</v>
      </c>
      <c r="F47" s="180"/>
      <c r="G47" s="213"/>
      <c r="H47" s="220"/>
      <c r="I47" s="219"/>
      <c r="J47" s="226">
        <f t="shared" si="6"/>
        <v>0</v>
      </c>
      <c r="K47" s="226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">
      <c r="A48" s="176" t="s">
        <v>46</v>
      </c>
      <c r="B48" s="177">
        <v>90</v>
      </c>
      <c r="C48" s="178">
        <f t="shared" si="4"/>
        <v>0</v>
      </c>
      <c r="D48" s="205"/>
      <c r="E48" s="180">
        <f t="shared" si="5"/>
        <v>0</v>
      </c>
      <c r="F48" s="180"/>
      <c r="G48" s="213"/>
      <c r="H48" s="219"/>
      <c r="I48" s="219"/>
      <c r="J48" s="226">
        <f t="shared" si="6"/>
        <v>0</v>
      </c>
      <c r="K48" s="226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thickBot="1">
      <c r="A49" s="181" t="s">
        <v>47</v>
      </c>
      <c r="B49" s="182">
        <v>90</v>
      </c>
      <c r="C49" s="183">
        <f t="shared" si="4"/>
        <v>0</v>
      </c>
      <c r="D49" s="206"/>
      <c r="E49" s="185">
        <f t="shared" si="5"/>
        <v>0</v>
      </c>
      <c r="F49" s="185">
        <f>SUM(D46:D49)</f>
        <v>0</v>
      </c>
      <c r="G49" s="214">
        <f>SUM(E46:E49)</f>
        <v>0</v>
      </c>
      <c r="H49" s="219"/>
      <c r="I49" s="219"/>
      <c r="J49" s="226">
        <f t="shared" si="6"/>
        <v>0</v>
      </c>
      <c r="K49" s="226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4:30" ht="12.75">
      <c r="D50" s="14">
        <f>SUM(D6:D49)</f>
        <v>32400000</v>
      </c>
      <c r="F50" s="14">
        <f aca="true" t="shared" si="7" ref="F50:K50">SUM(F9+F13+F17+F21+F25++F29+F33+F37+F41+F45+F4)</f>
        <v>32400000</v>
      </c>
      <c r="G50" s="14">
        <f t="shared" si="7"/>
        <v>15719375.000000002</v>
      </c>
      <c r="H50" s="14">
        <f>SUM(H9+H13+H17+H21+H25++H29+H33+H37+H41+H45+H4)</f>
        <v>23000000</v>
      </c>
      <c r="I50" s="14">
        <f t="shared" si="7"/>
        <v>5930000</v>
      </c>
      <c r="J50" s="14">
        <f>SUM(J9+J13+J17+J21+J25++J29+J33+J37+J41+J45+J4+J49)</f>
        <v>55400000</v>
      </c>
      <c r="K50" s="14">
        <f t="shared" si="7"/>
        <v>21649375</v>
      </c>
      <c r="L50" s="19"/>
      <c r="M50" s="23">
        <f>H50+F50</f>
        <v>55400000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6:30" ht="12.75">
      <c r="F51" s="14"/>
      <c r="H51" s="14"/>
      <c r="J51" s="233"/>
      <c r="K51" s="23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2:30" ht="12.75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">
      <selection activeCell="E8" sqref="E8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690" t="s">
        <v>219</v>
      </c>
      <c r="B1" s="690"/>
      <c r="C1" s="690"/>
      <c r="D1" s="690"/>
      <c r="E1" s="690"/>
      <c r="F1" s="690"/>
      <c r="G1" s="690"/>
    </row>
    <row r="2" spans="1:11" ht="21.75" customHeight="1" thickBot="1">
      <c r="A2" s="340" t="s">
        <v>0</v>
      </c>
      <c r="B2" s="341"/>
      <c r="C2" s="342" t="s">
        <v>1</v>
      </c>
      <c r="D2" s="342" t="s">
        <v>2</v>
      </c>
      <c r="E2" s="343" t="s">
        <v>3</v>
      </c>
      <c r="F2" s="342" t="s">
        <v>4</v>
      </c>
      <c r="G2" s="344" t="s">
        <v>5</v>
      </c>
      <c r="H2" s="345" t="s">
        <v>213</v>
      </c>
      <c r="I2" s="346" t="s">
        <v>3</v>
      </c>
      <c r="J2" s="347" t="s">
        <v>215</v>
      </c>
      <c r="K2" s="347" t="s">
        <v>3</v>
      </c>
    </row>
    <row r="3" spans="1:11" ht="12.75">
      <c r="A3" s="348" t="s">
        <v>6</v>
      </c>
      <c r="B3" s="349">
        <v>90</v>
      </c>
      <c r="C3" s="350">
        <v>0</v>
      </c>
      <c r="D3" s="12">
        <v>0</v>
      </c>
      <c r="E3" s="13">
        <v>0</v>
      </c>
      <c r="F3" s="13">
        <v>0</v>
      </c>
      <c r="G3" s="210"/>
      <c r="H3" s="351">
        <v>2141585</v>
      </c>
      <c r="I3" s="352">
        <v>733601</v>
      </c>
      <c r="J3" s="353">
        <f>H3+'spł poż'!F8</f>
        <v>2191585</v>
      </c>
      <c r="K3" s="353">
        <f>I3+'spł poż'!G8</f>
        <v>907289</v>
      </c>
    </row>
    <row r="4" spans="1:11" ht="0.75" customHeight="1" thickBot="1">
      <c r="A4" s="354" t="s">
        <v>7</v>
      </c>
      <c r="B4" s="355">
        <v>90</v>
      </c>
      <c r="C4" s="356">
        <f>C3</f>
        <v>0</v>
      </c>
      <c r="D4" s="12">
        <v>0</v>
      </c>
      <c r="E4" s="170">
        <f>B4*C4*5.5%/360</f>
        <v>0</v>
      </c>
      <c r="F4" s="170">
        <v>0</v>
      </c>
      <c r="G4" s="211">
        <f>E3+E4</f>
        <v>0</v>
      </c>
      <c r="H4" s="357"/>
      <c r="I4" s="358"/>
      <c r="J4" s="359"/>
      <c r="K4" s="359"/>
    </row>
    <row r="5" spans="1:36" s="2" customFormat="1" ht="12.75">
      <c r="A5" s="360" t="s">
        <v>8</v>
      </c>
      <c r="B5" s="361">
        <v>90</v>
      </c>
      <c r="C5" s="174">
        <f>C4-D4</f>
        <v>0</v>
      </c>
      <c r="D5" s="174">
        <v>0</v>
      </c>
      <c r="E5" s="175">
        <f>B5*C5*5.5%/360</f>
        <v>0</v>
      </c>
      <c r="F5" s="175"/>
      <c r="G5" s="212"/>
      <c r="H5" s="235"/>
      <c r="I5" s="236"/>
      <c r="J5" s="227"/>
      <c r="K5" s="227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62" t="s">
        <v>9</v>
      </c>
      <c r="B6" s="363">
        <v>90</v>
      </c>
      <c r="C6" s="179">
        <f>C5-D5</f>
        <v>0</v>
      </c>
      <c r="D6" s="179">
        <v>0</v>
      </c>
      <c r="E6" s="180">
        <f>B6*C6*5.5%/360</f>
        <v>0</v>
      </c>
      <c r="F6" s="180"/>
      <c r="G6" s="213"/>
      <c r="H6" s="357"/>
      <c r="I6" s="358"/>
      <c r="J6" s="364"/>
      <c r="K6" s="364"/>
    </row>
    <row r="7" spans="1:11" ht="12.75">
      <c r="A7" s="362" t="s">
        <v>10</v>
      </c>
      <c r="B7" s="363">
        <v>90</v>
      </c>
      <c r="C7" s="179">
        <v>10000000</v>
      </c>
      <c r="D7" s="179">
        <v>0</v>
      </c>
      <c r="E7" s="180">
        <v>125000</v>
      </c>
      <c r="F7" s="180"/>
      <c r="G7" s="213"/>
      <c r="H7" s="357"/>
      <c r="I7" s="358"/>
      <c r="J7" s="364"/>
      <c r="K7" s="364"/>
    </row>
    <row r="8" spans="1:11" ht="13.5" thickBot="1">
      <c r="A8" s="365" t="s">
        <v>11</v>
      </c>
      <c r="B8" s="366">
        <v>90</v>
      </c>
      <c r="C8" s="184">
        <v>10000000</v>
      </c>
      <c r="D8" s="184">
        <v>0</v>
      </c>
      <c r="E8" s="180">
        <f>B8*C8*7%/360</f>
        <v>175000.00000000003</v>
      </c>
      <c r="F8" s="185">
        <f>D6+D7+D8</f>
        <v>0</v>
      </c>
      <c r="G8" s="214">
        <f>SUM(E5:E8)</f>
        <v>300000</v>
      </c>
      <c r="H8" s="367">
        <v>3485040</v>
      </c>
      <c r="I8" s="368">
        <v>697952</v>
      </c>
      <c r="J8" s="369">
        <f>H8+F8+'spł poż'!F8</f>
        <v>3535040</v>
      </c>
      <c r="K8" s="369">
        <f>I8+G8+'spł poż'!G8</f>
        <v>1171640</v>
      </c>
    </row>
    <row r="9" spans="1:11" ht="12.75">
      <c r="A9" s="360" t="s">
        <v>12</v>
      </c>
      <c r="B9" s="361">
        <v>90</v>
      </c>
      <c r="C9" s="174">
        <f>C8-D8</f>
        <v>10000000</v>
      </c>
      <c r="D9" s="174"/>
      <c r="E9" s="175">
        <f>B9*C9*0.07/360</f>
        <v>175000.00000000003</v>
      </c>
      <c r="F9" s="175"/>
      <c r="G9" s="212"/>
      <c r="H9" s="357"/>
      <c r="I9" s="358"/>
      <c r="J9" s="370">
        <f>H9+F9+'spł poż'!F9</f>
        <v>0</v>
      </c>
      <c r="K9" s="370">
        <f>I9+G9+'spł poż'!G9</f>
        <v>0</v>
      </c>
    </row>
    <row r="10" spans="1:11" ht="12.75">
      <c r="A10" s="362" t="s">
        <v>13</v>
      </c>
      <c r="B10" s="363">
        <v>90</v>
      </c>
      <c r="C10" s="179">
        <f aca="true" t="shared" si="0" ref="C10:C43">C9-D9</f>
        <v>10000000</v>
      </c>
      <c r="D10" s="179">
        <v>50000</v>
      </c>
      <c r="E10" s="180">
        <f aca="true" t="shared" si="1" ref="E10:E40">B10*C10*0.07/360</f>
        <v>175000.00000000003</v>
      </c>
      <c r="F10" s="180"/>
      <c r="G10" s="213"/>
      <c r="H10" s="357"/>
      <c r="I10" s="358"/>
      <c r="J10" s="371">
        <f>H10+F10+'spł poż'!F10</f>
        <v>0</v>
      </c>
      <c r="K10" s="371">
        <f>I10+G10+'spł poż'!G10</f>
        <v>0</v>
      </c>
    </row>
    <row r="11" spans="1:11" ht="12.75">
      <c r="A11" s="362" t="s">
        <v>14</v>
      </c>
      <c r="B11" s="363">
        <v>90</v>
      </c>
      <c r="C11" s="179">
        <f t="shared" si="0"/>
        <v>9950000</v>
      </c>
      <c r="D11" s="179"/>
      <c r="E11" s="180">
        <f t="shared" si="1"/>
        <v>174125.00000000003</v>
      </c>
      <c r="F11" s="180"/>
      <c r="G11" s="213"/>
      <c r="H11" s="357"/>
      <c r="I11" s="358"/>
      <c r="J11" s="371">
        <f>H11+F11+'spł poż'!F11</f>
        <v>0</v>
      </c>
      <c r="K11" s="371">
        <f>I11+G11+'spł poż'!G11</f>
        <v>0</v>
      </c>
    </row>
    <row r="12" spans="1:11" ht="13.5" thickBot="1">
      <c r="A12" s="365" t="s">
        <v>15</v>
      </c>
      <c r="B12" s="366">
        <v>90</v>
      </c>
      <c r="C12" s="184">
        <f t="shared" si="0"/>
        <v>9950000</v>
      </c>
      <c r="D12" s="184"/>
      <c r="E12" s="185">
        <f t="shared" si="1"/>
        <v>174125.00000000003</v>
      </c>
      <c r="F12" s="185">
        <f>SUM(D9:D12)</f>
        <v>50000</v>
      </c>
      <c r="G12" s="214">
        <f>SUM(E9:E12)</f>
        <v>698250.0000000001</v>
      </c>
      <c r="H12" s="367">
        <v>3616899</v>
      </c>
      <c r="I12" s="368">
        <v>575506</v>
      </c>
      <c r="J12" s="369">
        <f>H12+'spł poż'!F12</f>
        <v>3666899</v>
      </c>
      <c r="K12" s="369">
        <f>I12+G12+'spł poż'!G12</f>
        <v>1443944</v>
      </c>
    </row>
    <row r="13" spans="1:11" ht="12.75">
      <c r="A13" s="360" t="s">
        <v>16</v>
      </c>
      <c r="B13" s="361">
        <v>90</v>
      </c>
      <c r="C13" s="174">
        <f t="shared" si="0"/>
        <v>9950000</v>
      </c>
      <c r="D13" s="174"/>
      <c r="E13" s="175">
        <f t="shared" si="1"/>
        <v>174125.00000000003</v>
      </c>
      <c r="F13" s="175"/>
      <c r="G13" s="212"/>
      <c r="H13" s="357"/>
      <c r="I13" s="358"/>
      <c r="J13" s="370">
        <f>H13+F13+'spł poż'!F13</f>
        <v>0</v>
      </c>
      <c r="K13" s="370">
        <f>I13+G13+'spł poż'!G13</f>
        <v>0</v>
      </c>
    </row>
    <row r="14" spans="1:11" ht="12.75">
      <c r="A14" s="362" t="s">
        <v>17</v>
      </c>
      <c r="B14" s="363">
        <v>90</v>
      </c>
      <c r="C14" s="179">
        <f t="shared" si="0"/>
        <v>9950000</v>
      </c>
      <c r="D14" s="179">
        <v>50000</v>
      </c>
      <c r="E14" s="180">
        <f t="shared" si="1"/>
        <v>174125.00000000003</v>
      </c>
      <c r="F14" s="180"/>
      <c r="G14" s="213"/>
      <c r="H14" s="357"/>
      <c r="I14" s="358"/>
      <c r="J14" s="371">
        <f>H14+F14+'spł poż'!F14</f>
        <v>0</v>
      </c>
      <c r="K14" s="371">
        <f>I14+G14+'spł poż'!G14</f>
        <v>0</v>
      </c>
    </row>
    <row r="15" spans="1:11" ht="12.75">
      <c r="A15" s="362" t="s">
        <v>18</v>
      </c>
      <c r="B15" s="363">
        <v>90</v>
      </c>
      <c r="C15" s="179">
        <f t="shared" si="0"/>
        <v>9900000</v>
      </c>
      <c r="D15" s="179"/>
      <c r="E15" s="180">
        <f t="shared" si="1"/>
        <v>173250.00000000003</v>
      </c>
      <c r="F15" s="180"/>
      <c r="G15" s="213"/>
      <c r="H15" s="357"/>
      <c r="I15" s="358"/>
      <c r="J15" s="371">
        <f>H15+F15+'spł poż'!F15</f>
        <v>0</v>
      </c>
      <c r="K15" s="371">
        <f>I15+G15+'spł poż'!G15</f>
        <v>0</v>
      </c>
    </row>
    <row r="16" spans="1:11" ht="13.5" thickBot="1">
      <c r="A16" s="365" t="s">
        <v>19</v>
      </c>
      <c r="B16" s="366">
        <v>90</v>
      </c>
      <c r="C16" s="184">
        <f t="shared" si="0"/>
        <v>9900000</v>
      </c>
      <c r="D16" s="184"/>
      <c r="E16" s="185">
        <f t="shared" si="1"/>
        <v>173250.00000000003</v>
      </c>
      <c r="F16" s="185">
        <f>SUM(D13:D16)</f>
        <v>50000</v>
      </c>
      <c r="G16" s="214">
        <f>SUM(E13:E16)</f>
        <v>694750.0000000001</v>
      </c>
      <c r="H16" s="367">
        <v>3456453</v>
      </c>
      <c r="I16" s="368">
        <v>349963</v>
      </c>
      <c r="J16" s="369">
        <f>H16+'spł poż'!F16</f>
        <v>3506453</v>
      </c>
      <c r="K16" s="369">
        <f>I16+G16+'spł poż'!G16</f>
        <v>1211401</v>
      </c>
    </row>
    <row r="17" spans="1:11" ht="12.75">
      <c r="A17" s="360" t="s">
        <v>20</v>
      </c>
      <c r="B17" s="361">
        <v>90</v>
      </c>
      <c r="C17" s="174">
        <f t="shared" si="0"/>
        <v>9900000</v>
      </c>
      <c r="D17" s="174">
        <f>D16</f>
        <v>0</v>
      </c>
      <c r="E17" s="175">
        <f t="shared" si="1"/>
        <v>173250.00000000003</v>
      </c>
      <c r="F17" s="175"/>
      <c r="G17" s="212"/>
      <c r="H17" s="357"/>
      <c r="I17" s="358"/>
      <c r="J17" s="370">
        <f>H17+F17+'spł poż'!F17</f>
        <v>0</v>
      </c>
      <c r="K17" s="370">
        <f>I17+G17+'spł poż'!G17</f>
        <v>0</v>
      </c>
    </row>
    <row r="18" spans="1:11" ht="12.75">
      <c r="A18" s="362" t="s">
        <v>21</v>
      </c>
      <c r="B18" s="363">
        <v>90</v>
      </c>
      <c r="C18" s="179">
        <f t="shared" si="0"/>
        <v>9900000</v>
      </c>
      <c r="D18" s="179">
        <v>50000</v>
      </c>
      <c r="E18" s="180">
        <f t="shared" si="1"/>
        <v>173250.00000000003</v>
      </c>
      <c r="F18" s="180"/>
      <c r="G18" s="213"/>
      <c r="H18" s="357"/>
      <c r="I18" s="358"/>
      <c r="J18" s="371">
        <f>H18+F18+'spł poż'!F18</f>
        <v>0</v>
      </c>
      <c r="K18" s="371">
        <f>I18+G18+'spł poż'!G18</f>
        <v>0</v>
      </c>
    </row>
    <row r="19" spans="1:36" s="17" customFormat="1" ht="12.75">
      <c r="A19" s="372" t="s">
        <v>22</v>
      </c>
      <c r="B19" s="373">
        <v>90</v>
      </c>
      <c r="C19" s="179">
        <f t="shared" si="0"/>
        <v>9850000</v>
      </c>
      <c r="D19" s="179"/>
      <c r="E19" s="180">
        <f t="shared" si="1"/>
        <v>172375.00000000003</v>
      </c>
      <c r="F19" s="188"/>
      <c r="G19" s="215"/>
      <c r="H19" s="357"/>
      <c r="I19" s="358"/>
      <c r="J19" s="371">
        <f>H19+F19+'spł poż'!F19</f>
        <v>0</v>
      </c>
      <c r="K19" s="371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74" t="s">
        <v>23</v>
      </c>
      <c r="B20" s="375">
        <v>90</v>
      </c>
      <c r="C20" s="195">
        <f t="shared" si="0"/>
        <v>9850000</v>
      </c>
      <c r="D20" s="208"/>
      <c r="E20" s="196">
        <f t="shared" si="1"/>
        <v>172375.00000000003</v>
      </c>
      <c r="F20" s="197">
        <f>SUM(D17:D20)</f>
        <v>50000</v>
      </c>
      <c r="G20" s="218">
        <f>SUM(E17:E20)</f>
        <v>691250.0000000001</v>
      </c>
      <c r="H20" s="367">
        <v>2500000</v>
      </c>
      <c r="I20" s="368">
        <v>258568</v>
      </c>
      <c r="J20" s="376">
        <f>H20+'spł poż'!F20</f>
        <v>2550000</v>
      </c>
      <c r="K20" s="376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60" t="s">
        <v>24</v>
      </c>
      <c r="B21" s="361">
        <v>90</v>
      </c>
      <c r="C21" s="174">
        <f t="shared" si="0"/>
        <v>9850000</v>
      </c>
      <c r="D21" s="204"/>
      <c r="E21" s="175">
        <f t="shared" si="1"/>
        <v>172375.00000000003</v>
      </c>
      <c r="F21" s="175"/>
      <c r="G21" s="212"/>
      <c r="H21" s="357"/>
      <c r="I21" s="358"/>
      <c r="J21" s="370">
        <f>H21+F21+'spł poż'!F21</f>
        <v>0</v>
      </c>
      <c r="K21" s="370">
        <f>I21+G21+'spł poż'!G21</f>
        <v>0</v>
      </c>
    </row>
    <row r="22" spans="1:11" ht="12.75">
      <c r="A22" s="362" t="s">
        <v>25</v>
      </c>
      <c r="B22" s="363">
        <v>90</v>
      </c>
      <c r="C22" s="179">
        <f t="shared" si="0"/>
        <v>9850000</v>
      </c>
      <c r="D22" s="205">
        <v>50000</v>
      </c>
      <c r="E22" s="180">
        <f t="shared" si="1"/>
        <v>172375.00000000003</v>
      </c>
      <c r="F22" s="180"/>
      <c r="G22" s="213"/>
      <c r="H22" s="357"/>
      <c r="I22" s="358"/>
      <c r="J22" s="371">
        <f>H22+F22+'spł poż'!F22</f>
        <v>0</v>
      </c>
      <c r="K22" s="371">
        <f>I22+G22+'spł poż'!G22</f>
        <v>0</v>
      </c>
    </row>
    <row r="23" spans="1:11" ht="12.75">
      <c r="A23" s="362" t="s">
        <v>26</v>
      </c>
      <c r="B23" s="363">
        <v>90</v>
      </c>
      <c r="C23" s="179">
        <f t="shared" si="0"/>
        <v>9800000</v>
      </c>
      <c r="D23" s="179"/>
      <c r="E23" s="180">
        <f t="shared" si="1"/>
        <v>171500.00000000003</v>
      </c>
      <c r="F23" s="180"/>
      <c r="G23" s="213"/>
      <c r="H23" s="357"/>
      <c r="I23" s="358"/>
      <c r="J23" s="371">
        <f>H23+F23+'spł poż'!F23</f>
        <v>0</v>
      </c>
      <c r="K23" s="371">
        <f>I23+G23+'spł poż'!G23</f>
        <v>0</v>
      </c>
    </row>
    <row r="24" spans="1:11" ht="13.5" thickBot="1">
      <c r="A24" s="365" t="s">
        <v>27</v>
      </c>
      <c r="B24" s="366">
        <v>90</v>
      </c>
      <c r="C24" s="184">
        <f t="shared" si="0"/>
        <v>9800000</v>
      </c>
      <c r="D24" s="184"/>
      <c r="E24" s="185">
        <f t="shared" si="1"/>
        <v>171500.00000000003</v>
      </c>
      <c r="F24" s="185">
        <f>SUM(D21:D24)</f>
        <v>50000</v>
      </c>
      <c r="G24" s="214">
        <f>SUM(E21:E24)</f>
        <v>687750.0000000001</v>
      </c>
      <c r="H24" s="367">
        <v>2500000</v>
      </c>
      <c r="I24" s="368">
        <v>171068</v>
      </c>
      <c r="J24" s="228">
        <f>H24+'spł poż'!F24</f>
        <v>2550000</v>
      </c>
      <c r="K24" s="369">
        <f>I24+G24+'spł poż'!G24</f>
        <v>1018506.0000000001</v>
      </c>
    </row>
    <row r="25" spans="1:36" s="17" customFormat="1" ht="12.75">
      <c r="A25" s="377" t="s">
        <v>28</v>
      </c>
      <c r="B25" s="378">
        <v>90</v>
      </c>
      <c r="C25" s="174">
        <f t="shared" si="0"/>
        <v>9800000</v>
      </c>
      <c r="D25" s="204"/>
      <c r="E25" s="175">
        <f t="shared" si="1"/>
        <v>171500.00000000003</v>
      </c>
      <c r="F25" s="201"/>
      <c r="G25" s="217"/>
      <c r="H25" s="357"/>
      <c r="I25" s="358"/>
      <c r="J25" s="370">
        <f>H25+F25+'spł poż'!F25</f>
        <v>0</v>
      </c>
      <c r="K25" s="370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72" t="s">
        <v>29</v>
      </c>
      <c r="B26" s="373">
        <v>90</v>
      </c>
      <c r="C26" s="179">
        <f t="shared" si="0"/>
        <v>9800000</v>
      </c>
      <c r="D26" s="205">
        <v>100000</v>
      </c>
      <c r="E26" s="180">
        <f t="shared" si="1"/>
        <v>171500.00000000003</v>
      </c>
      <c r="F26" s="188"/>
      <c r="G26" s="215"/>
      <c r="H26" s="357"/>
      <c r="I26" s="358"/>
      <c r="J26" s="371">
        <f>H26+F26+'spł poż'!F26</f>
        <v>0</v>
      </c>
      <c r="K26" s="371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72" t="s">
        <v>30</v>
      </c>
      <c r="B27" s="373">
        <v>90</v>
      </c>
      <c r="C27" s="179">
        <f t="shared" si="0"/>
        <v>9700000</v>
      </c>
      <c r="D27" s="205"/>
      <c r="E27" s="180">
        <f t="shared" si="1"/>
        <v>169750.00000000003</v>
      </c>
      <c r="F27" s="188"/>
      <c r="G27" s="215"/>
      <c r="H27" s="357"/>
      <c r="I27" s="358"/>
      <c r="J27" s="371">
        <f>H27+F27+'spł poż'!F27</f>
        <v>0</v>
      </c>
      <c r="K27" s="371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79" t="s">
        <v>31</v>
      </c>
      <c r="B28" s="380">
        <v>90</v>
      </c>
      <c r="C28" s="184">
        <f t="shared" si="0"/>
        <v>9700000</v>
      </c>
      <c r="D28" s="206"/>
      <c r="E28" s="185">
        <f t="shared" si="1"/>
        <v>169750.00000000003</v>
      </c>
      <c r="F28" s="191">
        <f>SUM(D25:D28)</f>
        <v>100000</v>
      </c>
      <c r="G28" s="216">
        <f>SUM(E25:E28)</f>
        <v>682500.0000000001</v>
      </c>
      <c r="H28" s="367">
        <v>2376170</v>
      </c>
      <c r="I28" s="368">
        <v>83568</v>
      </c>
      <c r="J28" s="369">
        <f>H28+'spł poż'!F28</f>
        <v>2401170</v>
      </c>
      <c r="K28" s="369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60" t="s">
        <v>32</v>
      </c>
      <c r="B29" s="361">
        <v>90</v>
      </c>
      <c r="C29" s="174">
        <f t="shared" si="0"/>
        <v>9700000</v>
      </c>
      <c r="D29" s="174"/>
      <c r="E29" s="175">
        <f t="shared" si="1"/>
        <v>169750.00000000003</v>
      </c>
      <c r="F29" s="175"/>
      <c r="G29" s="212"/>
      <c r="H29" s="357"/>
      <c r="I29" s="358"/>
      <c r="J29" s="370">
        <f>H29+F29+'spł poż'!F29</f>
        <v>0</v>
      </c>
      <c r="K29" s="370">
        <f>I29+G29+'spł poż'!G29</f>
        <v>0</v>
      </c>
    </row>
    <row r="30" spans="1:11" ht="12.75">
      <c r="A30" s="362" t="s">
        <v>33</v>
      </c>
      <c r="B30" s="363">
        <v>90</v>
      </c>
      <c r="C30" s="179">
        <f t="shared" si="0"/>
        <v>9700000</v>
      </c>
      <c r="D30" s="205">
        <v>1000000</v>
      </c>
      <c r="E30" s="180">
        <f t="shared" si="1"/>
        <v>169750.00000000003</v>
      </c>
      <c r="F30" s="180"/>
      <c r="G30" s="213"/>
      <c r="H30" s="357"/>
      <c r="I30" s="358"/>
      <c r="J30" s="371">
        <f>H30+F30+'spł poż'!F30</f>
        <v>0</v>
      </c>
      <c r="K30" s="371">
        <f>I30+G30+'spł poż'!G30</f>
        <v>0</v>
      </c>
    </row>
    <row r="31" spans="1:11" ht="12.75">
      <c r="A31" s="362" t="s">
        <v>34</v>
      </c>
      <c r="B31" s="363">
        <v>90</v>
      </c>
      <c r="C31" s="179">
        <f t="shared" si="0"/>
        <v>8700000</v>
      </c>
      <c r="D31" s="205"/>
      <c r="E31" s="180">
        <f t="shared" si="1"/>
        <v>152250.00000000003</v>
      </c>
      <c r="F31" s="180"/>
      <c r="G31" s="213"/>
      <c r="H31" s="357"/>
      <c r="I31" s="358"/>
      <c r="J31" s="371">
        <f>H31+F31+'spł poż'!F31</f>
        <v>0</v>
      </c>
      <c r="K31" s="371">
        <f>I31+G31+'spł poż'!G31</f>
        <v>0</v>
      </c>
    </row>
    <row r="32" spans="1:11" ht="13.5" thickBot="1">
      <c r="A32" s="381" t="s">
        <v>35</v>
      </c>
      <c r="B32" s="382">
        <v>90</v>
      </c>
      <c r="C32" s="195">
        <f t="shared" si="0"/>
        <v>8700000</v>
      </c>
      <c r="D32" s="208"/>
      <c r="E32" s="196">
        <f t="shared" si="1"/>
        <v>152250.00000000003</v>
      </c>
      <c r="F32" s="196">
        <f>SUM(D29:D32)</f>
        <v>1000000</v>
      </c>
      <c r="G32" s="383">
        <f>SUM(E29:E32)</f>
        <v>644000.0000000001</v>
      </c>
      <c r="H32" s="367">
        <v>11500</v>
      </c>
      <c r="I32" s="358">
        <v>403</v>
      </c>
      <c r="J32" s="376">
        <f>H32+'spł poż'!F32</f>
        <v>62028</v>
      </c>
      <c r="K32" s="376">
        <f>I32+G32+'spł poż'!G32</f>
        <v>770831.2600000001</v>
      </c>
    </row>
    <row r="33" spans="1:36" s="17" customFormat="1" ht="12.75">
      <c r="A33" s="377" t="s">
        <v>36</v>
      </c>
      <c r="B33" s="378">
        <v>90</v>
      </c>
      <c r="C33" s="174">
        <f t="shared" si="0"/>
        <v>8700000</v>
      </c>
      <c r="D33" s="204"/>
      <c r="E33" s="175">
        <f t="shared" si="1"/>
        <v>152250.00000000003</v>
      </c>
      <c r="F33" s="201"/>
      <c r="G33" s="217"/>
      <c r="H33" s="357"/>
      <c r="I33" s="358"/>
      <c r="J33" s="370">
        <f>H33+F33+'spł poż'!F33</f>
        <v>0</v>
      </c>
      <c r="K33" s="370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72" t="s">
        <v>37</v>
      </c>
      <c r="B34" s="373">
        <v>90</v>
      </c>
      <c r="C34" s="179">
        <f t="shared" si="0"/>
        <v>8700000</v>
      </c>
      <c r="D34" s="205">
        <v>500000</v>
      </c>
      <c r="E34" s="180">
        <f t="shared" si="1"/>
        <v>152250.00000000003</v>
      </c>
      <c r="F34" s="188"/>
      <c r="G34" s="215"/>
      <c r="H34" s="357"/>
      <c r="I34" s="358"/>
      <c r="J34" s="371">
        <f>H34+F34+'spł poż'!F34</f>
        <v>0</v>
      </c>
      <c r="K34" s="371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72" t="s">
        <v>38</v>
      </c>
      <c r="B35" s="373">
        <v>90</v>
      </c>
      <c r="C35" s="179">
        <f t="shared" si="0"/>
        <v>8200000</v>
      </c>
      <c r="D35" s="205"/>
      <c r="E35" s="180">
        <f t="shared" si="1"/>
        <v>143500.00000000003</v>
      </c>
      <c r="F35" s="188"/>
      <c r="G35" s="215"/>
      <c r="H35" s="357"/>
      <c r="I35" s="358"/>
      <c r="J35" s="371">
        <f>H35+F35+'spł poż'!F35</f>
        <v>0</v>
      </c>
      <c r="K35" s="371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79" t="s">
        <v>39</v>
      </c>
      <c r="B36" s="380">
        <v>90</v>
      </c>
      <c r="C36" s="184">
        <f t="shared" si="0"/>
        <v>8200000</v>
      </c>
      <c r="D36" s="206"/>
      <c r="E36" s="185">
        <f t="shared" si="1"/>
        <v>143500.00000000003</v>
      </c>
      <c r="F36" s="191">
        <f>SUM(D33:D36)</f>
        <v>500000</v>
      </c>
      <c r="G36" s="216">
        <f>SUM(E33:E36)</f>
        <v>591500.0000000001</v>
      </c>
      <c r="H36" s="357"/>
      <c r="I36" s="358"/>
      <c r="J36" s="369">
        <f>H36+'spł poż'!F36</f>
        <v>750523</v>
      </c>
      <c r="K36" s="369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60" t="s">
        <v>40</v>
      </c>
      <c r="B37" s="361">
        <v>90</v>
      </c>
      <c r="C37" s="174">
        <f t="shared" si="0"/>
        <v>8200000</v>
      </c>
      <c r="D37" s="174">
        <f>D36</f>
        <v>0</v>
      </c>
      <c r="E37" s="175">
        <f t="shared" si="1"/>
        <v>143500.00000000003</v>
      </c>
      <c r="F37" s="175"/>
      <c r="G37" s="212"/>
      <c r="H37" s="357"/>
      <c r="I37" s="358"/>
      <c r="J37" s="370">
        <f>H37+F37+'spł poż'!F37</f>
        <v>0</v>
      </c>
      <c r="K37" s="370">
        <f>I37+G37+'spł poż'!G37</f>
        <v>0</v>
      </c>
    </row>
    <row r="38" spans="1:11" ht="12.75">
      <c r="A38" s="362" t="s">
        <v>41</v>
      </c>
      <c r="B38" s="363">
        <v>90</v>
      </c>
      <c r="C38" s="179">
        <f t="shared" si="0"/>
        <v>8200000</v>
      </c>
      <c r="D38" s="179">
        <v>500000</v>
      </c>
      <c r="E38" s="180">
        <f t="shared" si="1"/>
        <v>143500.00000000003</v>
      </c>
      <c r="F38" s="180"/>
      <c r="G38" s="213"/>
      <c r="H38" s="357"/>
      <c r="I38" s="358"/>
      <c r="J38" s="371">
        <f>H38+F38+'spł poż'!F38</f>
        <v>0</v>
      </c>
      <c r="K38" s="371">
        <f>I38+G38+'spł poż'!G38</f>
        <v>0</v>
      </c>
    </row>
    <row r="39" spans="1:11" ht="12.75">
      <c r="A39" s="362" t="s">
        <v>42</v>
      </c>
      <c r="B39" s="363">
        <v>90</v>
      </c>
      <c r="C39" s="179">
        <f t="shared" si="0"/>
        <v>7700000</v>
      </c>
      <c r="D39" s="179"/>
      <c r="E39" s="180">
        <f t="shared" si="1"/>
        <v>134750.00000000003</v>
      </c>
      <c r="F39" s="180"/>
      <c r="G39" s="213"/>
      <c r="H39" s="357"/>
      <c r="I39" s="358"/>
      <c r="J39" s="371">
        <f>H39+F39+'spł poż'!F39</f>
        <v>0</v>
      </c>
      <c r="K39" s="371">
        <f>I39+G39+'spł poż'!G39</f>
        <v>0</v>
      </c>
    </row>
    <row r="40" spans="1:11" ht="13.5" thickBot="1">
      <c r="A40" s="365" t="s">
        <v>43</v>
      </c>
      <c r="B40" s="366">
        <v>90</v>
      </c>
      <c r="C40" s="184">
        <f t="shared" si="0"/>
        <v>7700000</v>
      </c>
      <c r="D40" s="184"/>
      <c r="E40" s="185">
        <f t="shared" si="1"/>
        <v>134750.00000000003</v>
      </c>
      <c r="F40" s="185">
        <f>SUM(D37:D40)</f>
        <v>500000</v>
      </c>
      <c r="G40" s="214">
        <f>SUM(E37:E40)</f>
        <v>556500.0000000001</v>
      </c>
      <c r="H40" s="357"/>
      <c r="I40" s="358"/>
      <c r="J40" s="369">
        <f>'spł poż'!F40</f>
        <v>600000</v>
      </c>
      <c r="K40" s="369">
        <f>I40+G40+'spł poż'!G40</f>
        <v>612426.4300000002</v>
      </c>
    </row>
    <row r="41" spans="1:11" ht="12.75">
      <c r="A41" s="360" t="s">
        <v>44</v>
      </c>
      <c r="B41" s="361">
        <v>90</v>
      </c>
      <c r="C41" s="174">
        <f t="shared" si="0"/>
        <v>7700000</v>
      </c>
      <c r="D41" s="174"/>
      <c r="E41" s="175">
        <f aca="true" t="shared" si="2" ref="E41:E48">B41*C41*0.07/360</f>
        <v>134750.00000000003</v>
      </c>
      <c r="F41" s="175"/>
      <c r="G41" s="212"/>
      <c r="H41" s="357"/>
      <c r="I41" s="358"/>
      <c r="J41" s="370">
        <f>H41+F41+'spł poż'!F41</f>
        <v>0</v>
      </c>
      <c r="K41" s="370">
        <f>I41+G41+'spł poż'!G41</f>
        <v>0</v>
      </c>
    </row>
    <row r="42" spans="1:11" ht="12.75">
      <c r="A42" s="362" t="s">
        <v>45</v>
      </c>
      <c r="B42" s="363">
        <v>90</v>
      </c>
      <c r="C42" s="179">
        <f t="shared" si="0"/>
        <v>7700000</v>
      </c>
      <c r="D42" s="179">
        <v>600000</v>
      </c>
      <c r="E42" s="180">
        <f t="shared" si="2"/>
        <v>134750.00000000003</v>
      </c>
      <c r="F42" s="180"/>
      <c r="G42" s="213"/>
      <c r="H42" s="357"/>
      <c r="I42" s="358"/>
      <c r="J42" s="371">
        <f>H42+F42+'spł poż'!F42</f>
        <v>0</v>
      </c>
      <c r="K42" s="371">
        <f>I42+G42+'spł poż'!G42</f>
        <v>0</v>
      </c>
    </row>
    <row r="43" spans="1:11" ht="12.75">
      <c r="A43" s="362" t="s">
        <v>46</v>
      </c>
      <c r="B43" s="363">
        <v>90</v>
      </c>
      <c r="C43" s="179">
        <f t="shared" si="0"/>
        <v>7100000</v>
      </c>
      <c r="D43" s="179">
        <v>600000</v>
      </c>
      <c r="E43" s="180">
        <f t="shared" si="2"/>
        <v>124250.00000000001</v>
      </c>
      <c r="F43" s="180"/>
      <c r="G43" s="213"/>
      <c r="H43" s="357"/>
      <c r="I43" s="358"/>
      <c r="J43" s="371">
        <f>H43+F43+'spł poż'!F43</f>
        <v>0</v>
      </c>
      <c r="K43" s="371">
        <f>I43+G43+'spł poż'!G43</f>
        <v>0</v>
      </c>
    </row>
    <row r="44" spans="1:11" ht="13.5" thickBot="1">
      <c r="A44" s="365" t="s">
        <v>47</v>
      </c>
      <c r="B44" s="366">
        <v>90</v>
      </c>
      <c r="C44" s="184">
        <f>C43-D43</f>
        <v>6500000</v>
      </c>
      <c r="D44" s="184"/>
      <c r="E44" s="185">
        <f t="shared" si="2"/>
        <v>113750.00000000001</v>
      </c>
      <c r="F44" s="185">
        <f>SUM(D41:D44)</f>
        <v>1200000</v>
      </c>
      <c r="G44" s="214">
        <f>SUM(E41:E44)</f>
        <v>507500.00000000006</v>
      </c>
      <c r="H44" s="384"/>
      <c r="I44" s="385"/>
      <c r="J44" s="369">
        <f>H44+'spł poż'!F44</f>
        <v>423949</v>
      </c>
      <c r="K44" s="369">
        <f>I44+G44+'spł poż'!G44</f>
        <v>526257.3225</v>
      </c>
    </row>
    <row r="45" spans="1:11" ht="12.75">
      <c r="A45" s="360" t="s">
        <v>365</v>
      </c>
      <c r="B45" s="361">
        <v>90</v>
      </c>
      <c r="C45" s="174">
        <f>C44-D44</f>
        <v>6500000</v>
      </c>
      <c r="D45" s="174">
        <v>3500000</v>
      </c>
      <c r="E45" s="175">
        <f t="shared" si="2"/>
        <v>113750.00000000001</v>
      </c>
      <c r="F45" s="175"/>
      <c r="G45" s="212"/>
      <c r="H45" s="357"/>
      <c r="I45" s="358"/>
      <c r="J45" s="370"/>
      <c r="K45" s="370">
        <f>I45+G45+'spł poż'!G45</f>
        <v>0</v>
      </c>
    </row>
    <row r="46" spans="1:11" ht="12.75">
      <c r="A46" s="362" t="s">
        <v>366</v>
      </c>
      <c r="B46" s="363">
        <v>90</v>
      </c>
      <c r="C46" s="179">
        <f>C45-D45</f>
        <v>3000000</v>
      </c>
      <c r="D46" s="179"/>
      <c r="E46" s="180">
        <f t="shared" si="2"/>
        <v>52500</v>
      </c>
      <c r="F46" s="180"/>
      <c r="G46" s="213"/>
      <c r="H46" s="357"/>
      <c r="I46" s="358"/>
      <c r="J46" s="371">
        <f>H46+F46+'spł poż'!F46</f>
        <v>0</v>
      </c>
      <c r="K46" s="371">
        <f>I46+G46+'spł poż'!G46</f>
        <v>0</v>
      </c>
    </row>
    <row r="47" spans="1:11" ht="12.75">
      <c r="A47" s="362" t="s">
        <v>367</v>
      </c>
      <c r="B47" s="363">
        <v>90</v>
      </c>
      <c r="C47" s="179">
        <f>C46-D46</f>
        <v>3000000</v>
      </c>
      <c r="D47" s="179">
        <v>3000000</v>
      </c>
      <c r="E47" s="180">
        <f t="shared" si="2"/>
        <v>52500</v>
      </c>
      <c r="F47" s="180"/>
      <c r="G47" s="213"/>
      <c r="H47" s="357"/>
      <c r="I47" s="358"/>
      <c r="J47" s="371">
        <f>H47+F47+'spł poż'!F47</f>
        <v>0</v>
      </c>
      <c r="K47" s="371">
        <f>I47+G47+'spł poż'!G47</f>
        <v>0</v>
      </c>
    </row>
    <row r="48" spans="1:11" ht="13.5" thickBot="1">
      <c r="A48" s="365" t="s">
        <v>368</v>
      </c>
      <c r="B48" s="366">
        <v>90</v>
      </c>
      <c r="C48" s="184">
        <f>C47-D47</f>
        <v>0</v>
      </c>
      <c r="D48" s="184"/>
      <c r="E48" s="185">
        <f t="shared" si="2"/>
        <v>0</v>
      </c>
      <c r="F48" s="185">
        <f>SUM(D45:D48)</f>
        <v>6500000</v>
      </c>
      <c r="G48" s="214">
        <f>SUM(E45:E48)</f>
        <v>218750</v>
      </c>
      <c r="H48" s="384"/>
      <c r="I48" s="385"/>
      <c r="J48" s="369"/>
      <c r="K48" s="369">
        <f>I48+G48+'spł poż'!G48</f>
        <v>218750</v>
      </c>
    </row>
    <row r="49" spans="1:11" ht="12.75">
      <c r="A49" s="386"/>
      <c r="B49" s="387"/>
      <c r="C49" s="386"/>
      <c r="D49" s="388">
        <f>SUM(D9:D48)</f>
        <v>10000000</v>
      </c>
      <c r="F49" s="388">
        <f>SUM(F9:F48)</f>
        <v>10000000</v>
      </c>
      <c r="G49" s="388">
        <f>SUM(G9:G48)</f>
        <v>5972750.000000001</v>
      </c>
      <c r="H49" s="389"/>
      <c r="I49" s="389"/>
      <c r="J49" s="388">
        <f>SUM(J9:J48)</f>
        <v>16511022</v>
      </c>
      <c r="K49" s="390">
        <f>SUM(K3:K44)</f>
        <v>10368644.5525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view="pageBreakPreview" zoomScale="60" zoomScaleNormal="90" zoomScalePageLayoutView="0" workbookViewId="0" topLeftCell="B60">
      <selection activeCell="G67" sqref="G67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1.00390625" style="24" customWidth="1"/>
    <col min="4" max="4" width="15.7109375" style="24" customWidth="1"/>
    <col min="5" max="5" width="15.57421875" style="24" customWidth="1"/>
    <col min="6" max="6" width="15.7109375" style="0" customWidth="1"/>
    <col min="7" max="7" width="16.140625" style="0" customWidth="1"/>
    <col min="8" max="8" width="16.00390625" style="0" customWidth="1"/>
    <col min="9" max="9" width="15.8515625" style="0" customWidth="1"/>
    <col min="10" max="10" width="15.421875" style="0" customWidth="1"/>
    <col min="11" max="11" width="16.28125" style="0" customWidth="1"/>
    <col min="12" max="12" width="16.00390625" style="0" customWidth="1"/>
    <col min="13" max="13" width="15.8515625" style="0" customWidth="1"/>
    <col min="14" max="14" width="16.00390625" style="0" customWidth="1"/>
    <col min="15" max="17" width="16.28125" style="0" customWidth="1"/>
  </cols>
  <sheetData>
    <row r="1" spans="1:17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7" t="s">
        <v>48</v>
      </c>
      <c r="N1" s="47"/>
      <c r="O1" s="48"/>
      <c r="P1" s="48"/>
      <c r="Q1" s="48"/>
    </row>
    <row r="2" spans="1:17" ht="3.75" customHeight="1">
      <c r="A2" s="49"/>
      <c r="B2" s="49"/>
      <c r="C2" s="50"/>
      <c r="D2" s="50"/>
      <c r="E2" s="50"/>
      <c r="F2" s="50"/>
      <c r="G2" s="50"/>
      <c r="H2" s="50"/>
      <c r="I2" s="50"/>
      <c r="J2" s="50"/>
      <c r="K2" s="51"/>
      <c r="L2" s="50"/>
      <c r="M2" s="52"/>
      <c r="N2" s="53"/>
      <c r="O2" s="50"/>
      <c r="P2" s="50"/>
      <c r="Q2" s="50"/>
    </row>
    <row r="3" spans="1:17" ht="18" customHeight="1">
      <c r="A3" s="54"/>
      <c r="B3" s="54"/>
      <c r="C3" s="55"/>
      <c r="D3" s="55"/>
      <c r="E3" s="55"/>
      <c r="F3" s="55"/>
      <c r="G3" s="55"/>
      <c r="H3" s="55"/>
      <c r="I3" s="55"/>
      <c r="J3" s="55"/>
      <c r="K3" s="56"/>
      <c r="L3" s="55"/>
      <c r="M3" s="57" t="s">
        <v>451</v>
      </c>
      <c r="N3" s="53"/>
      <c r="O3" s="55"/>
      <c r="P3" s="55"/>
      <c r="Q3" s="55"/>
    </row>
    <row r="4" spans="1:17" ht="16.5" customHeight="1">
      <c r="A4" s="54"/>
      <c r="B4" s="54"/>
      <c r="C4" s="55"/>
      <c r="D4" s="55"/>
      <c r="E4" s="55"/>
      <c r="F4" s="55"/>
      <c r="G4" s="55"/>
      <c r="H4" s="55"/>
      <c r="I4" s="55"/>
      <c r="J4" s="55"/>
      <c r="K4" s="56"/>
      <c r="L4" s="55"/>
      <c r="M4" s="57" t="s">
        <v>49</v>
      </c>
      <c r="N4" s="53"/>
      <c r="O4" s="55"/>
      <c r="P4" s="55"/>
      <c r="Q4" s="55"/>
    </row>
    <row r="5" spans="1:17" ht="17.25" customHeight="1">
      <c r="A5" s="54"/>
      <c r="B5" s="54"/>
      <c r="C5" s="55"/>
      <c r="D5" s="55"/>
      <c r="E5" s="55"/>
      <c r="F5" s="55"/>
      <c r="G5" s="55"/>
      <c r="H5" s="55"/>
      <c r="I5" s="55"/>
      <c r="J5" s="55"/>
      <c r="K5" s="56"/>
      <c r="L5" s="55"/>
      <c r="M5" s="57" t="s">
        <v>450</v>
      </c>
      <c r="N5" s="53"/>
      <c r="O5" s="55"/>
      <c r="P5" s="55"/>
      <c r="Q5" s="55"/>
    </row>
    <row r="6" spans="1:17" ht="19.5" customHeight="1" thickBot="1">
      <c r="A6" s="763" t="s">
        <v>372</v>
      </c>
      <c r="B6" s="764"/>
      <c r="C6" s="764" t="s">
        <v>50</v>
      </c>
      <c r="D6" s="764"/>
      <c r="E6" s="764" t="s">
        <v>51</v>
      </c>
      <c r="F6" s="764" t="s">
        <v>52</v>
      </c>
      <c r="G6" s="764" t="s">
        <v>53</v>
      </c>
      <c r="H6" s="764" t="s">
        <v>54</v>
      </c>
      <c r="I6" s="764" t="s">
        <v>55</v>
      </c>
      <c r="J6" s="764" t="s">
        <v>56</v>
      </c>
      <c r="K6" s="764" t="s">
        <v>57</v>
      </c>
      <c r="L6" s="764" t="s">
        <v>58</v>
      </c>
      <c r="M6" s="764" t="s">
        <v>59</v>
      </c>
      <c r="N6" s="533"/>
      <c r="O6" s="533"/>
      <c r="P6" s="533"/>
      <c r="Q6" s="534"/>
    </row>
    <row r="7" spans="1:17" ht="19.5" customHeight="1" thickBot="1">
      <c r="A7" s="765"/>
      <c r="B7" s="766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531"/>
      <c r="O7" s="531"/>
      <c r="P7" s="531"/>
      <c r="Q7" s="535"/>
    </row>
    <row r="8" spans="1:17" ht="19.5" customHeight="1" thickBot="1">
      <c r="A8" s="765"/>
      <c r="B8" s="766"/>
      <c r="C8" s="766"/>
      <c r="D8" s="766"/>
      <c r="E8" s="766"/>
      <c r="F8" s="766"/>
      <c r="G8" s="766"/>
      <c r="H8" s="766"/>
      <c r="I8" s="766"/>
      <c r="J8" s="766"/>
      <c r="K8" s="766"/>
      <c r="L8" s="766"/>
      <c r="M8" s="766"/>
      <c r="N8" s="530"/>
      <c r="O8" s="530"/>
      <c r="P8" s="530"/>
      <c r="Q8" s="536"/>
    </row>
    <row r="9" spans="1:17" ht="16.5" customHeight="1" thickBot="1">
      <c r="A9" s="708" t="s">
        <v>60</v>
      </c>
      <c r="B9" s="721" t="s">
        <v>61</v>
      </c>
      <c r="C9" s="727"/>
      <c r="D9" s="721" t="s">
        <v>422</v>
      </c>
      <c r="E9" s="722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3"/>
    </row>
    <row r="10" spans="1:17" ht="26.25" customHeight="1" thickBot="1">
      <c r="A10" s="709"/>
      <c r="B10" s="728"/>
      <c r="C10" s="729"/>
      <c r="D10" s="701" t="s">
        <v>421</v>
      </c>
      <c r="E10" s="702"/>
      <c r="F10" s="703"/>
      <c r="G10" s="717" t="s">
        <v>62</v>
      </c>
      <c r="H10" s="718"/>
      <c r="I10" s="718"/>
      <c r="J10" s="718"/>
      <c r="K10" s="718"/>
      <c r="L10" s="718"/>
      <c r="M10" s="718"/>
      <c r="N10" s="718"/>
      <c r="O10" s="718"/>
      <c r="P10" s="718"/>
      <c r="Q10" s="719"/>
    </row>
    <row r="11" spans="1:17" ht="18" customHeight="1">
      <c r="A11" s="709"/>
      <c r="B11" s="728"/>
      <c r="C11" s="729"/>
      <c r="D11" s="704">
        <v>2009</v>
      </c>
      <c r="E11" s="711">
        <v>2010</v>
      </c>
      <c r="F11" s="712">
        <v>2011</v>
      </c>
      <c r="G11" s="715">
        <v>2012</v>
      </c>
      <c r="H11" s="713">
        <v>2013</v>
      </c>
      <c r="I11" s="720">
        <v>2014</v>
      </c>
      <c r="J11" s="720">
        <v>2015</v>
      </c>
      <c r="K11" s="720">
        <v>2016</v>
      </c>
      <c r="L11" s="720">
        <v>2017</v>
      </c>
      <c r="M11" s="720">
        <v>2018</v>
      </c>
      <c r="N11" s="720">
        <v>2019</v>
      </c>
      <c r="O11" s="720">
        <v>2020</v>
      </c>
      <c r="P11" s="720">
        <v>2021</v>
      </c>
      <c r="Q11" s="720">
        <v>2022</v>
      </c>
    </row>
    <row r="12" spans="1:17" ht="14.25" customHeight="1" thickBot="1">
      <c r="A12" s="710"/>
      <c r="B12" s="730"/>
      <c r="C12" s="731"/>
      <c r="D12" s="704"/>
      <c r="E12" s="711"/>
      <c r="F12" s="712"/>
      <c r="G12" s="716"/>
      <c r="H12" s="714"/>
      <c r="I12" s="705"/>
      <c r="J12" s="705"/>
      <c r="K12" s="705"/>
      <c r="L12" s="705"/>
      <c r="M12" s="705"/>
      <c r="N12" s="705"/>
      <c r="O12" s="705"/>
      <c r="P12" s="705"/>
      <c r="Q12" s="705"/>
    </row>
    <row r="13" spans="1:17" s="25" customFormat="1" ht="19.5" customHeight="1">
      <c r="A13" s="68">
        <v>1</v>
      </c>
      <c r="B13" s="767" t="s">
        <v>63</v>
      </c>
      <c r="C13" s="768"/>
      <c r="D13" s="74">
        <f>D14+D15</f>
        <v>81699693</v>
      </c>
      <c r="E13" s="286">
        <f>E14+E15</f>
        <v>85095905</v>
      </c>
      <c r="F13" s="277">
        <f>F14+F15</f>
        <v>107182193</v>
      </c>
      <c r="G13" s="293">
        <f>G14+G15</f>
        <v>135549533</v>
      </c>
      <c r="H13" s="287">
        <f aca="true" t="shared" si="0" ref="H13:Q13">H14+H15</f>
        <v>162067924</v>
      </c>
      <c r="I13" s="74">
        <f t="shared" si="0"/>
        <v>118356936</v>
      </c>
      <c r="J13" s="74">
        <f t="shared" si="0"/>
        <v>118214688</v>
      </c>
      <c r="K13" s="74">
        <f t="shared" si="0"/>
        <v>125586180</v>
      </c>
      <c r="L13" s="74">
        <f t="shared" si="0"/>
        <v>129860716</v>
      </c>
      <c r="M13" s="74">
        <f t="shared" si="0"/>
        <v>135174581</v>
      </c>
      <c r="N13" s="74">
        <f t="shared" si="0"/>
        <v>140750256</v>
      </c>
      <c r="O13" s="74">
        <f t="shared" si="0"/>
        <v>140603825</v>
      </c>
      <c r="P13" s="74">
        <f>P14+P15</f>
        <v>142658641</v>
      </c>
      <c r="Q13" s="74">
        <f t="shared" si="0"/>
        <v>144657935</v>
      </c>
    </row>
    <row r="14" spans="1:17" ht="19.5" customHeight="1">
      <c r="A14" s="69" t="s">
        <v>64</v>
      </c>
      <c r="B14" s="706" t="s">
        <v>65</v>
      </c>
      <c r="C14" s="707"/>
      <c r="D14" s="71">
        <v>80665439</v>
      </c>
      <c r="E14" s="302">
        <v>84339995</v>
      </c>
      <c r="F14" s="278">
        <v>101368763</v>
      </c>
      <c r="G14" s="294">
        <v>106774757</v>
      </c>
      <c r="H14" s="300">
        <v>115206973</v>
      </c>
      <c r="I14" s="72">
        <v>118126336</v>
      </c>
      <c r="J14" s="71">
        <v>118175588</v>
      </c>
      <c r="K14" s="71">
        <v>125586180</v>
      </c>
      <c r="L14" s="71">
        <v>129860716</v>
      </c>
      <c r="M14" s="71">
        <v>135174581</v>
      </c>
      <c r="N14" s="71">
        <v>140750256</v>
      </c>
      <c r="O14" s="71">
        <v>140603825</v>
      </c>
      <c r="P14" s="71">
        <v>142658641</v>
      </c>
      <c r="Q14" s="71">
        <v>144657935</v>
      </c>
    </row>
    <row r="15" spans="1:17" ht="19.5" customHeight="1">
      <c r="A15" s="69" t="s">
        <v>66</v>
      </c>
      <c r="B15" s="706" t="s">
        <v>67</v>
      </c>
      <c r="C15" s="707"/>
      <c r="D15" s="71">
        <v>1034254</v>
      </c>
      <c r="E15" s="302">
        <v>755910</v>
      </c>
      <c r="F15" s="278">
        <v>5813430</v>
      </c>
      <c r="G15" s="294">
        <v>28774776</v>
      </c>
      <c r="H15" s="300">
        <v>46860951</v>
      </c>
      <c r="I15" s="72">
        <v>230600</v>
      </c>
      <c r="J15" s="71">
        <v>39100</v>
      </c>
      <c r="K15" s="71"/>
      <c r="L15" s="71">
        <f>L16</f>
        <v>0</v>
      </c>
      <c r="M15" s="72">
        <v>0</v>
      </c>
      <c r="N15" s="71">
        <f>N16</f>
        <v>0</v>
      </c>
      <c r="O15" s="71"/>
      <c r="P15" s="71"/>
      <c r="Q15" s="71"/>
    </row>
    <row r="16" spans="1:17" ht="20.25" customHeight="1">
      <c r="A16" s="69" t="s">
        <v>68</v>
      </c>
      <c r="B16" s="83" t="s">
        <v>69</v>
      </c>
      <c r="C16" s="273" t="s">
        <v>70</v>
      </c>
      <c r="D16" s="71">
        <v>197354</v>
      </c>
      <c r="E16" s="302">
        <v>255910</v>
      </c>
      <c r="F16" s="278">
        <v>5637026</v>
      </c>
      <c r="G16" s="294">
        <v>26263900</v>
      </c>
      <c r="H16" s="301">
        <v>44000000</v>
      </c>
      <c r="I16" s="72"/>
      <c r="J16" s="72"/>
      <c r="K16" s="72"/>
      <c r="L16" s="72">
        <v>0</v>
      </c>
      <c r="M16" s="72">
        <v>0</v>
      </c>
      <c r="N16" s="72">
        <v>0</v>
      </c>
      <c r="O16" s="72"/>
      <c r="P16" s="72"/>
      <c r="Q16" s="72"/>
    </row>
    <row r="17" spans="1:17" ht="54.75" customHeight="1">
      <c r="A17" s="73">
        <v>2</v>
      </c>
      <c r="B17" s="724" t="s">
        <v>71</v>
      </c>
      <c r="C17" s="725"/>
      <c r="D17" s="74">
        <v>71551205</v>
      </c>
      <c r="E17" s="286">
        <v>76029699</v>
      </c>
      <c r="F17" s="277">
        <v>92994815</v>
      </c>
      <c r="G17" s="293">
        <v>102883482</v>
      </c>
      <c r="H17" s="287">
        <v>110221146</v>
      </c>
      <c r="I17" s="74">
        <v>101372832</v>
      </c>
      <c r="J17" s="74">
        <v>102152682</v>
      </c>
      <c r="K17" s="74">
        <v>104042174</v>
      </c>
      <c r="L17" s="74">
        <v>105364353</v>
      </c>
      <c r="M17" s="74">
        <v>106926222</v>
      </c>
      <c r="N17" s="74">
        <v>107712332</v>
      </c>
      <c r="O17" s="74">
        <v>110641024</v>
      </c>
      <c r="P17" s="74">
        <v>112231685</v>
      </c>
      <c r="Q17" s="74">
        <v>114939185</v>
      </c>
    </row>
    <row r="18" spans="1:17" ht="24.75" customHeight="1">
      <c r="A18" s="69" t="s">
        <v>64</v>
      </c>
      <c r="B18" s="726" t="s">
        <v>69</v>
      </c>
      <c r="C18" s="274" t="s">
        <v>72</v>
      </c>
      <c r="D18" s="71">
        <v>25712119</v>
      </c>
      <c r="E18" s="302">
        <v>28031630</v>
      </c>
      <c r="F18" s="278">
        <v>32260512</v>
      </c>
      <c r="G18" s="294">
        <v>38263367</v>
      </c>
      <c r="H18" s="300">
        <v>40780828</v>
      </c>
      <c r="I18" s="72">
        <v>41596445</v>
      </c>
      <c r="J18" s="71">
        <v>42428373</v>
      </c>
      <c r="K18" s="71">
        <v>43276941</v>
      </c>
      <c r="L18" s="71">
        <v>44142480</v>
      </c>
      <c r="M18" s="71">
        <v>45025329</v>
      </c>
      <c r="N18" s="71">
        <v>45925836</v>
      </c>
      <c r="O18" s="71">
        <v>45925836</v>
      </c>
      <c r="P18" s="71">
        <v>45925836</v>
      </c>
      <c r="Q18" s="71">
        <f>N18*102%</f>
        <v>46844352.72</v>
      </c>
    </row>
    <row r="19" spans="1:17" ht="24.75" customHeight="1">
      <c r="A19" s="69" t="s">
        <v>66</v>
      </c>
      <c r="B19" s="726"/>
      <c r="C19" s="274" t="s">
        <v>73</v>
      </c>
      <c r="D19" s="71">
        <v>7561065</v>
      </c>
      <c r="E19" s="302">
        <v>8358243</v>
      </c>
      <c r="F19" s="278">
        <v>9933941</v>
      </c>
      <c r="G19" s="294">
        <v>13373110</v>
      </c>
      <c r="H19" s="300">
        <v>13706915</v>
      </c>
      <c r="I19" s="72">
        <v>13800050</v>
      </c>
      <c r="J19" s="71">
        <v>13900000</v>
      </c>
      <c r="K19" s="71">
        <v>14000000</v>
      </c>
      <c r="L19" s="71">
        <v>14280000</v>
      </c>
      <c r="M19" s="71">
        <v>14565600</v>
      </c>
      <c r="N19" s="71">
        <v>14856912</v>
      </c>
      <c r="O19" s="71">
        <v>15154050</v>
      </c>
      <c r="P19" s="71">
        <f>O19*102%</f>
        <v>15457131</v>
      </c>
      <c r="Q19" s="71">
        <v>15766274</v>
      </c>
    </row>
    <row r="20" spans="1:17" ht="20.25" customHeight="1">
      <c r="A20" s="69" t="s">
        <v>74</v>
      </c>
      <c r="B20" s="726"/>
      <c r="C20" s="274" t="s">
        <v>75</v>
      </c>
      <c r="D20" s="71">
        <v>0</v>
      </c>
      <c r="E20" s="302">
        <v>0</v>
      </c>
      <c r="F20" s="299">
        <v>0</v>
      </c>
      <c r="G20" s="297"/>
      <c r="H20" s="291">
        <v>0</v>
      </c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35.25" customHeight="1">
      <c r="A21" s="69" t="s">
        <v>68</v>
      </c>
      <c r="B21" s="726"/>
      <c r="C21" s="274" t="s">
        <v>76</v>
      </c>
      <c r="D21" s="70">
        <v>0</v>
      </c>
      <c r="E21" s="302">
        <v>0</v>
      </c>
      <c r="F21" s="299">
        <v>0</v>
      </c>
      <c r="G21" s="297">
        <v>0</v>
      </c>
      <c r="H21" s="291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 ht="31.5">
      <c r="A22" s="69" t="s">
        <v>77</v>
      </c>
      <c r="B22" s="726"/>
      <c r="C22" s="274" t="s">
        <v>78</v>
      </c>
      <c r="D22" s="71" t="s">
        <v>79</v>
      </c>
      <c r="E22" s="302" t="s">
        <v>79</v>
      </c>
      <c r="F22" s="278">
        <v>1309987</v>
      </c>
      <c r="G22" s="294">
        <f>'Wykaz przedsięwzięć'!L14</f>
        <v>15577598</v>
      </c>
      <c r="H22" s="301">
        <f>'Wykaz przedsięwzięć'!M93</f>
        <v>16522944</v>
      </c>
      <c r="I22" s="72">
        <f>'Wykaz przedsięwzięć'!N93</f>
        <v>17405518</v>
      </c>
      <c r="J22" s="72">
        <f>'Wykaz przedsięwzięć'!O93</f>
        <v>9756800</v>
      </c>
      <c r="K22" s="72">
        <f>'Wykaz przedsięwzięć'!P93</f>
        <v>4151000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</row>
    <row r="23" spans="1:17" ht="38.25" customHeight="1">
      <c r="A23" s="76">
        <v>3</v>
      </c>
      <c r="B23" s="736" t="s">
        <v>80</v>
      </c>
      <c r="C23" s="737"/>
      <c r="D23" s="77">
        <f>D13-D17</f>
        <v>10148488</v>
      </c>
      <c r="E23" s="286">
        <f>E13-E17</f>
        <v>9066206</v>
      </c>
      <c r="F23" s="277">
        <f aca="true" t="shared" si="1" ref="F23:Q23">F13-F17</f>
        <v>14187378</v>
      </c>
      <c r="G23" s="293">
        <f>G13-G17</f>
        <v>32666051</v>
      </c>
      <c r="H23" s="284">
        <f t="shared" si="1"/>
        <v>51846778</v>
      </c>
      <c r="I23" s="74">
        <f t="shared" si="1"/>
        <v>16984104</v>
      </c>
      <c r="J23" s="77">
        <f>J13-J17</f>
        <v>16062006</v>
      </c>
      <c r="K23" s="77">
        <f t="shared" si="1"/>
        <v>21544006</v>
      </c>
      <c r="L23" s="77">
        <f t="shared" si="1"/>
        <v>24496363</v>
      </c>
      <c r="M23" s="77">
        <f t="shared" si="1"/>
        <v>28248359</v>
      </c>
      <c r="N23" s="77">
        <f t="shared" si="1"/>
        <v>33037924</v>
      </c>
      <c r="O23" s="77">
        <f>O13-O17</f>
        <v>29962801</v>
      </c>
      <c r="P23" s="77">
        <f>P13-P17</f>
        <v>30426956</v>
      </c>
      <c r="Q23" s="77">
        <f t="shared" si="1"/>
        <v>29718750</v>
      </c>
    </row>
    <row r="24" spans="1:17" ht="39.75" customHeight="1">
      <c r="A24" s="76">
        <v>4</v>
      </c>
      <c r="B24" s="736" t="s">
        <v>81</v>
      </c>
      <c r="C24" s="737"/>
      <c r="D24" s="78">
        <v>3719761</v>
      </c>
      <c r="E24" s="286">
        <v>1245475</v>
      </c>
      <c r="F24" s="280">
        <v>427077</v>
      </c>
      <c r="G24" s="295">
        <v>4004678</v>
      </c>
      <c r="H24" s="286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1:17" ht="51" customHeight="1">
      <c r="A25" s="69" t="s">
        <v>64</v>
      </c>
      <c r="B25" s="80" t="s">
        <v>69</v>
      </c>
      <c r="C25" s="275" t="s">
        <v>82</v>
      </c>
      <c r="D25" s="70">
        <v>0</v>
      </c>
      <c r="E25" s="302"/>
      <c r="F25" s="299">
        <v>375492</v>
      </c>
      <c r="G25" s="295">
        <v>3969638</v>
      </c>
      <c r="H25" s="302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</row>
    <row r="26" spans="1:17" ht="33.75" customHeight="1">
      <c r="A26" s="76">
        <v>5</v>
      </c>
      <c r="B26" s="736" t="s">
        <v>83</v>
      </c>
      <c r="C26" s="737"/>
      <c r="D26" s="77">
        <v>0</v>
      </c>
      <c r="E26" s="286">
        <v>0</v>
      </c>
      <c r="F26" s="277">
        <v>0</v>
      </c>
      <c r="G26" s="293">
        <v>0</v>
      </c>
      <c r="H26" s="284">
        <v>0</v>
      </c>
      <c r="I26" s="74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1:17" ht="20.25" customHeight="1">
      <c r="A27" s="76">
        <v>6</v>
      </c>
      <c r="B27" s="736" t="s">
        <v>84</v>
      </c>
      <c r="C27" s="737"/>
      <c r="D27" s="77">
        <f>D23+D24+D26</f>
        <v>13868249</v>
      </c>
      <c r="E27" s="286">
        <f>E23+E24+E26</f>
        <v>10311681</v>
      </c>
      <c r="F27" s="277">
        <f>F23+F24+F26</f>
        <v>14614455</v>
      </c>
      <c r="G27" s="543">
        <f>G23+G24+G26</f>
        <v>36670729</v>
      </c>
      <c r="H27" s="277">
        <f>H23+H24+H26</f>
        <v>51846778</v>
      </c>
      <c r="I27" s="74">
        <f aca="true" t="shared" si="2" ref="I27:Q27">I23+I24+I26</f>
        <v>16984104</v>
      </c>
      <c r="J27" s="77">
        <f>J23+J24+J26</f>
        <v>16062006</v>
      </c>
      <c r="K27" s="77">
        <f t="shared" si="2"/>
        <v>21544006</v>
      </c>
      <c r="L27" s="77">
        <f t="shared" si="2"/>
        <v>24496363</v>
      </c>
      <c r="M27" s="77">
        <f t="shared" si="2"/>
        <v>28248359</v>
      </c>
      <c r="N27" s="77">
        <f t="shared" si="2"/>
        <v>33037924</v>
      </c>
      <c r="O27" s="77">
        <f t="shared" si="2"/>
        <v>29962801</v>
      </c>
      <c r="P27" s="77">
        <f>P23+P24+P26</f>
        <v>30426956</v>
      </c>
      <c r="Q27" s="77">
        <f t="shared" si="2"/>
        <v>29718750</v>
      </c>
    </row>
    <row r="28" spans="1:17" ht="20.25" customHeight="1">
      <c r="A28" s="76">
        <v>7</v>
      </c>
      <c r="B28" s="736" t="s">
        <v>85</v>
      </c>
      <c r="C28" s="737"/>
      <c r="D28" s="78">
        <f>D29+D33</f>
        <v>4502192</v>
      </c>
      <c r="E28" s="286">
        <f>E29+E33</f>
        <v>9065858</v>
      </c>
      <c r="F28" s="280">
        <f aca="true" t="shared" si="3" ref="F28:Q28">F29+F33</f>
        <v>6942225</v>
      </c>
      <c r="G28" s="295">
        <f>G29+G33</f>
        <v>10411930</v>
      </c>
      <c r="H28" s="290">
        <f t="shared" si="3"/>
        <v>12165093</v>
      </c>
      <c r="I28" s="79">
        <f t="shared" si="3"/>
        <v>11584604</v>
      </c>
      <c r="J28" s="78">
        <f t="shared" si="3"/>
        <v>12816006</v>
      </c>
      <c r="K28" s="78">
        <f t="shared" si="3"/>
        <v>12459006</v>
      </c>
      <c r="L28" s="78">
        <f t="shared" si="3"/>
        <v>13073863</v>
      </c>
      <c r="M28" s="78">
        <f t="shared" si="3"/>
        <v>11615859.26</v>
      </c>
      <c r="N28" s="78">
        <f t="shared" si="3"/>
        <v>12695423.540000001</v>
      </c>
      <c r="O28" s="78">
        <f t="shared" si="3"/>
        <v>7962801.43</v>
      </c>
      <c r="P28" s="78">
        <f>P29+P33</f>
        <v>6426956.3225</v>
      </c>
      <c r="Q28" s="78">
        <f t="shared" si="3"/>
        <v>6718750</v>
      </c>
    </row>
    <row r="29" spans="1:18" s="19" customFormat="1" ht="36" customHeight="1">
      <c r="A29" s="82" t="s">
        <v>64</v>
      </c>
      <c r="B29" s="738" t="s">
        <v>86</v>
      </c>
      <c r="C29" s="732"/>
      <c r="D29" s="72">
        <v>3463314</v>
      </c>
      <c r="E29" s="302">
        <v>6940085</v>
      </c>
      <c r="F29" s="278">
        <v>4551585</v>
      </c>
      <c r="G29" s="294">
        <f>SUM(G30:G32)</f>
        <v>6935040</v>
      </c>
      <c r="H29" s="301">
        <f>SUM(H30:H32)</f>
        <v>7316899</v>
      </c>
      <c r="I29" s="72">
        <f aca="true" t="shared" si="4" ref="I29:Q29">SUM(I30:I32)</f>
        <v>7156453</v>
      </c>
      <c r="J29" s="72">
        <f t="shared" si="4"/>
        <v>8700000</v>
      </c>
      <c r="K29" s="72">
        <f t="shared" si="4"/>
        <v>8800000</v>
      </c>
      <c r="L29" s="72">
        <f t="shared" si="4"/>
        <v>9901170</v>
      </c>
      <c r="M29" s="72">
        <f t="shared" si="4"/>
        <v>9062028</v>
      </c>
      <c r="N29" s="72">
        <f t="shared" si="4"/>
        <v>10850523</v>
      </c>
      <c r="O29" s="72">
        <f t="shared" si="4"/>
        <v>6800000</v>
      </c>
      <c r="P29" s="72">
        <f>SUM(P30:P32)</f>
        <v>5723949</v>
      </c>
      <c r="Q29" s="72">
        <f t="shared" si="4"/>
        <v>6500000</v>
      </c>
      <c r="R29" s="23"/>
    </row>
    <row r="30" spans="1:18" s="19" customFormat="1" ht="19.5" customHeight="1">
      <c r="A30" s="82"/>
      <c r="B30" s="744" t="s">
        <v>69</v>
      </c>
      <c r="C30" s="276" t="s">
        <v>87</v>
      </c>
      <c r="D30" s="72">
        <v>2963314</v>
      </c>
      <c r="E30" s="302">
        <v>3340085</v>
      </c>
      <c r="F30" s="278">
        <v>2141585</v>
      </c>
      <c r="G30" s="294">
        <f>Arkusz5!J8</f>
        <v>3535040</v>
      </c>
      <c r="H30" s="301">
        <f>Arkusz5!J12</f>
        <v>3666899</v>
      </c>
      <c r="I30" s="72">
        <f>Arkusz5!J16</f>
        <v>3506453</v>
      </c>
      <c r="J30" s="72">
        <f>Arkusz5!J20</f>
        <v>2550000</v>
      </c>
      <c r="K30" s="72">
        <f>Arkusz5!J24</f>
        <v>2550000</v>
      </c>
      <c r="L30" s="72">
        <f>Arkusz5!J28</f>
        <v>2401170</v>
      </c>
      <c r="M30" s="72">
        <f>Arkusz5!J32</f>
        <v>62028</v>
      </c>
      <c r="N30" s="72">
        <f>Arkusz5!J36</f>
        <v>750523</v>
      </c>
      <c r="O30" s="72">
        <f>Arkusz5!J40</f>
        <v>600000</v>
      </c>
      <c r="P30" s="72">
        <f>Arkusz5!J44</f>
        <v>423949</v>
      </c>
      <c r="Q30" s="72">
        <v>0</v>
      </c>
      <c r="R30" s="23"/>
    </row>
    <row r="31" spans="1:18" s="19" customFormat="1" ht="19.5" customHeight="1">
      <c r="A31" s="82"/>
      <c r="B31" s="744"/>
      <c r="C31" s="276" t="s">
        <v>88</v>
      </c>
      <c r="D31" s="72">
        <v>500000</v>
      </c>
      <c r="E31" s="302">
        <v>3600000</v>
      </c>
      <c r="F31" s="278">
        <v>410000</v>
      </c>
      <c r="G31" s="294">
        <v>400000</v>
      </c>
      <c r="H31" s="301">
        <f>Arkusz5!F12+600000</f>
        <v>650000</v>
      </c>
      <c r="I31" s="72">
        <f>Arkusz5!F16+600000</f>
        <v>650000</v>
      </c>
      <c r="J31" s="72">
        <f>Arkusz5!F20+600000</f>
        <v>650000</v>
      </c>
      <c r="K31" s="72">
        <f>Arkusz5!F24+700000</f>
        <v>750000</v>
      </c>
      <c r="L31" s="72">
        <f>Arkusz5!F28+1400000</f>
        <v>1500000</v>
      </c>
      <c r="M31" s="72">
        <f>Arkusz5!F32</f>
        <v>1000000</v>
      </c>
      <c r="N31" s="72">
        <f>Arkusz5!F36</f>
        <v>500000</v>
      </c>
      <c r="O31" s="72">
        <f>Arkusz5!F40</f>
        <v>500000</v>
      </c>
      <c r="P31" s="72">
        <f>Arkusz5!F44</f>
        <v>1200000</v>
      </c>
      <c r="Q31" s="72">
        <f>Arkusz5!F48</f>
        <v>6500000</v>
      </c>
      <c r="R31" s="23"/>
    </row>
    <row r="32" spans="1:18" s="19" customFormat="1" ht="19.5" customHeight="1">
      <c r="A32" s="82"/>
      <c r="B32" s="744"/>
      <c r="C32" s="276" t="s">
        <v>89</v>
      </c>
      <c r="D32" s="72"/>
      <c r="E32" s="302"/>
      <c r="F32" s="278">
        <v>2000000</v>
      </c>
      <c r="G32" s="294">
        <f>'spł obligacji'!J9</f>
        <v>3000000</v>
      </c>
      <c r="H32" s="301">
        <f>'spł obligacji'!J13</f>
        <v>3000000</v>
      </c>
      <c r="I32" s="72">
        <f>'spł obligacji'!J17</f>
        <v>3000000</v>
      </c>
      <c r="J32" s="72">
        <f>'spł obligacji'!J21</f>
        <v>5500000</v>
      </c>
      <c r="K32" s="72">
        <f>'spł obligacji'!J25</f>
        <v>5500000</v>
      </c>
      <c r="L32" s="72">
        <f>'spł obligacji'!J29</f>
        <v>6000000</v>
      </c>
      <c r="M32" s="72">
        <f>'spł obligacji'!J33</f>
        <v>8000000</v>
      </c>
      <c r="N32" s="72">
        <f>'spł obligacji'!J37</f>
        <v>9600000</v>
      </c>
      <c r="O32" s="72">
        <f>'spł obligacji'!J41</f>
        <v>5700000</v>
      </c>
      <c r="P32" s="72">
        <f>'spł obligacji'!F45</f>
        <v>4100000</v>
      </c>
      <c r="Q32" s="72">
        <f>'spł obligacji'!F49</f>
        <v>0</v>
      </c>
      <c r="R32" s="23"/>
    </row>
    <row r="33" spans="1:17" ht="20.25" customHeight="1">
      <c r="A33" s="69" t="s">
        <v>66</v>
      </c>
      <c r="B33" s="706" t="s">
        <v>90</v>
      </c>
      <c r="C33" s="707"/>
      <c r="D33" s="71">
        <v>1038878</v>
      </c>
      <c r="E33" s="302">
        <v>2125773</v>
      </c>
      <c r="F33" s="278">
        <v>2390640</v>
      </c>
      <c r="G33" s="294">
        <f>Arkusz5!K8+'spł obligacji'!K4+940250+100000</f>
        <v>3476890</v>
      </c>
      <c r="H33" s="300">
        <f>'spł obligacji'!K13+Arkusz5!K12+146250</f>
        <v>4848194</v>
      </c>
      <c r="I33" s="72">
        <f>'spł obligacji'!K17+Arkusz5!K16+123750</f>
        <v>4428151</v>
      </c>
      <c r="J33" s="71">
        <f>'spł obligacji'!K21+Arkusz5!K20+101250</f>
        <v>4116006.0000000005</v>
      </c>
      <c r="K33" s="71">
        <f>'spł obligacji'!K25+Arkusz5!K24+78750</f>
        <v>3659006</v>
      </c>
      <c r="L33" s="71">
        <f>'spł obligacji'!K29+Arkusz5!K28+52500</f>
        <v>3172693</v>
      </c>
      <c r="M33" s="71">
        <f>'spł obligacji'!K33+Arkusz5!K32</f>
        <v>2553831.2600000002</v>
      </c>
      <c r="N33" s="71">
        <f>'spł obligacji'!K37+Arkusz5!K36</f>
        <v>1844900.5400000005</v>
      </c>
      <c r="O33" s="71">
        <f>Arkusz5!K40+'spł obligacji'!K41</f>
        <v>1162801.4300000002</v>
      </c>
      <c r="P33" s="71">
        <f>'spł obligacji'!K45+Arkusz5!K44</f>
        <v>703007.3225</v>
      </c>
      <c r="Q33" s="71">
        <f>Arkusz5!K48+'spł obligacji'!K49</f>
        <v>218750</v>
      </c>
    </row>
    <row r="34" spans="1:17" ht="20.25" customHeight="1">
      <c r="A34" s="76">
        <v>8</v>
      </c>
      <c r="B34" s="736" t="s">
        <v>91</v>
      </c>
      <c r="C34" s="737"/>
      <c r="D34" s="77">
        <v>0</v>
      </c>
      <c r="E34" s="286">
        <v>40000</v>
      </c>
      <c r="F34" s="277">
        <v>0</v>
      </c>
      <c r="G34" s="293">
        <v>0</v>
      </c>
      <c r="H34" s="284">
        <v>0</v>
      </c>
      <c r="I34" s="74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1:17" ht="37.5" customHeight="1">
      <c r="A35" s="73">
        <v>9</v>
      </c>
      <c r="B35" s="724" t="s">
        <v>206</v>
      </c>
      <c r="C35" s="725"/>
      <c r="D35" s="74">
        <f>D27-D28-D34</f>
        <v>9366057</v>
      </c>
      <c r="E35" s="286">
        <f aca="true" t="shared" si="5" ref="E35:Q35">E27-E28-E34</f>
        <v>1205823</v>
      </c>
      <c r="F35" s="277">
        <f t="shared" si="5"/>
        <v>7672230</v>
      </c>
      <c r="G35" s="293">
        <f t="shared" si="5"/>
        <v>26258799</v>
      </c>
      <c r="H35" s="287">
        <f t="shared" si="5"/>
        <v>39681685</v>
      </c>
      <c r="I35" s="74">
        <f t="shared" si="5"/>
        <v>5399500</v>
      </c>
      <c r="J35" s="74">
        <f t="shared" si="5"/>
        <v>3246000</v>
      </c>
      <c r="K35" s="74">
        <f t="shared" si="5"/>
        <v>9085000</v>
      </c>
      <c r="L35" s="74">
        <f t="shared" si="5"/>
        <v>11422500</v>
      </c>
      <c r="M35" s="74">
        <f t="shared" si="5"/>
        <v>16632499.74</v>
      </c>
      <c r="N35" s="74">
        <f t="shared" si="5"/>
        <v>20342500.46</v>
      </c>
      <c r="O35" s="74">
        <f t="shared" si="5"/>
        <v>21999999.57</v>
      </c>
      <c r="P35" s="74">
        <f t="shared" si="5"/>
        <v>23999999.677500002</v>
      </c>
      <c r="Q35" s="74">
        <f t="shared" si="5"/>
        <v>23000000</v>
      </c>
    </row>
    <row r="36" spans="1:17" ht="20.25" customHeight="1">
      <c r="A36" s="73">
        <v>10</v>
      </c>
      <c r="B36" s="724" t="s">
        <v>92</v>
      </c>
      <c r="C36" s="725"/>
      <c r="D36" s="74">
        <v>33260582</v>
      </c>
      <c r="E36" s="286">
        <v>9778746</v>
      </c>
      <c r="F36" s="277">
        <v>17267552</v>
      </c>
      <c r="G36" s="293">
        <v>57158799</v>
      </c>
      <c r="H36" s="287">
        <v>39681685</v>
      </c>
      <c r="I36" s="74">
        <v>5399500</v>
      </c>
      <c r="J36" s="74">
        <v>3246000</v>
      </c>
      <c r="K36" s="74">
        <f>K37</f>
        <v>9085000</v>
      </c>
      <c r="L36" s="74">
        <v>11422500</v>
      </c>
      <c r="M36" s="74">
        <f>M35</f>
        <v>16632499.74</v>
      </c>
      <c r="N36" s="74">
        <f>N35</f>
        <v>20342500.46</v>
      </c>
      <c r="O36" s="74">
        <v>22000000</v>
      </c>
      <c r="P36" s="74">
        <v>24000000</v>
      </c>
      <c r="Q36" s="74">
        <v>23000000</v>
      </c>
    </row>
    <row r="37" spans="1:17" ht="36" customHeight="1">
      <c r="A37" s="508" t="s">
        <v>64</v>
      </c>
      <c r="B37" s="509" t="s">
        <v>69</v>
      </c>
      <c r="C37" s="510" t="s">
        <v>93</v>
      </c>
      <c r="D37" s="538" t="s">
        <v>79</v>
      </c>
      <c r="E37" s="537" t="s">
        <v>79</v>
      </c>
      <c r="F37" s="511">
        <v>7674671</v>
      </c>
      <c r="G37" s="512">
        <f>'Wykaz przedsięwzięć'!L16</f>
        <v>41057236</v>
      </c>
      <c r="H37" s="532">
        <f>'Wykaz przedsięwzięć'!M16</f>
        <v>37157356</v>
      </c>
      <c r="I37" s="532">
        <f>'Wykaz przedsięwzięć'!N16</f>
        <v>5399500</v>
      </c>
      <c r="J37" s="513">
        <f>'Wykaz przedsięwzięć'!O16</f>
        <v>3246000</v>
      </c>
      <c r="K37" s="513">
        <f>'Wykaz przedsięwzięć'!P16</f>
        <v>9085000</v>
      </c>
      <c r="L37" s="513">
        <f>'Wykaz przedsięwzięć'!Q16</f>
        <v>11400000</v>
      </c>
      <c r="M37" s="513"/>
      <c r="N37" s="513"/>
      <c r="O37" s="513"/>
      <c r="P37" s="513"/>
      <c r="Q37" s="513"/>
    </row>
    <row r="38" spans="1:17" ht="15">
      <c r="A38" s="84"/>
      <c r="B38" s="85"/>
      <c r="C38" s="86"/>
      <c r="D38" s="86"/>
      <c r="E38" s="16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30" customHeight="1">
      <c r="A39" s="84"/>
      <c r="B39" s="85"/>
      <c r="C39" s="86"/>
      <c r="D39" s="86"/>
      <c r="E39" s="16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30" customHeight="1">
      <c r="A40" s="84"/>
      <c r="B40" s="85"/>
      <c r="C40" s="86"/>
      <c r="D40" s="86"/>
      <c r="E40" s="16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1:17" ht="37.5" customHeight="1">
      <c r="A41" s="84"/>
      <c r="B41" s="85"/>
      <c r="C41" s="86"/>
      <c r="D41" s="86"/>
      <c r="E41" s="16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1:17" ht="38.25" customHeight="1">
      <c r="A42" s="84"/>
      <c r="B42" s="85"/>
      <c r="C42" s="86"/>
      <c r="D42" s="86"/>
      <c r="E42" s="16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27" customHeight="1">
      <c r="A43" s="84"/>
      <c r="B43" s="85"/>
      <c r="C43" s="86"/>
      <c r="D43" s="86"/>
      <c r="E43" s="16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1:17" ht="28.5" customHeight="1">
      <c r="A44" s="84"/>
      <c r="B44" s="85"/>
      <c r="C44" s="86"/>
      <c r="D44" s="86"/>
      <c r="E44" s="16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1:17" ht="15">
      <c r="A45" s="84"/>
      <c r="B45" s="85"/>
      <c r="C45" s="86"/>
      <c r="D45" s="86"/>
      <c r="E45" s="16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1:17" ht="18" customHeight="1">
      <c r="A46" s="84"/>
      <c r="B46" s="85"/>
      <c r="C46" s="86"/>
      <c r="D46" s="86"/>
      <c r="E46" s="16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1:17" ht="6.75" customHeight="1" thickBot="1">
      <c r="A47" s="84"/>
      <c r="B47" s="85"/>
      <c r="C47" s="86"/>
      <c r="D47" s="86"/>
      <c r="E47" s="16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1:17" ht="17.25" customHeight="1" thickBot="1">
      <c r="A48" s="757" t="s">
        <v>60</v>
      </c>
      <c r="B48" s="745" t="s">
        <v>61</v>
      </c>
      <c r="C48" s="745"/>
      <c r="D48" s="529"/>
      <c r="E48" s="758"/>
      <c r="F48" s="758"/>
      <c r="G48" s="758"/>
      <c r="H48" s="758"/>
      <c r="I48" s="758"/>
      <c r="J48" s="758"/>
      <c r="K48" s="758"/>
      <c r="L48" s="758"/>
      <c r="M48" s="758"/>
      <c r="N48" s="758"/>
      <c r="O48" s="758"/>
      <c r="P48" s="758"/>
      <c r="Q48" s="759"/>
    </row>
    <row r="49" spans="1:17" ht="17.25" customHeight="1" thickBot="1">
      <c r="A49" s="757"/>
      <c r="B49" s="745"/>
      <c r="C49" s="745"/>
      <c r="D49" s="760" t="s">
        <v>421</v>
      </c>
      <c r="E49" s="761"/>
      <c r="F49" s="762"/>
      <c r="G49" s="717" t="s">
        <v>62</v>
      </c>
      <c r="H49" s="718"/>
      <c r="I49" s="718"/>
      <c r="J49" s="718"/>
      <c r="K49" s="718"/>
      <c r="L49" s="718"/>
      <c r="M49" s="718"/>
      <c r="N49" s="718"/>
      <c r="O49" s="718"/>
      <c r="P49" s="718"/>
      <c r="Q49" s="719"/>
    </row>
    <row r="50" spans="1:17" ht="13.5" customHeight="1" thickBot="1">
      <c r="A50" s="757"/>
      <c r="B50" s="745"/>
      <c r="C50" s="746"/>
      <c r="D50" s="704">
        <v>2009</v>
      </c>
      <c r="E50" s="711">
        <v>2010</v>
      </c>
      <c r="F50" s="769">
        <v>2011</v>
      </c>
      <c r="G50" s="716">
        <v>2012</v>
      </c>
      <c r="H50" s="714">
        <v>2013</v>
      </c>
      <c r="I50" s="705">
        <v>2014</v>
      </c>
      <c r="J50" s="705">
        <v>2015</v>
      </c>
      <c r="K50" s="705">
        <v>2016</v>
      </c>
      <c r="L50" s="705">
        <v>2017</v>
      </c>
      <c r="M50" s="705">
        <v>2018</v>
      </c>
      <c r="N50" s="705">
        <v>2019</v>
      </c>
      <c r="O50" s="705">
        <v>2020</v>
      </c>
      <c r="P50" s="705">
        <v>2021</v>
      </c>
      <c r="Q50" s="705">
        <v>2022</v>
      </c>
    </row>
    <row r="51" spans="1:17" ht="24.75" customHeight="1" thickBot="1">
      <c r="A51" s="757"/>
      <c r="B51" s="745"/>
      <c r="C51" s="746"/>
      <c r="D51" s="704"/>
      <c r="E51" s="711"/>
      <c r="F51" s="770"/>
      <c r="G51" s="716"/>
      <c r="H51" s="714"/>
      <c r="I51" s="705"/>
      <c r="J51" s="705"/>
      <c r="K51" s="705"/>
      <c r="L51" s="705"/>
      <c r="M51" s="705"/>
      <c r="N51" s="705"/>
      <c r="O51" s="705"/>
      <c r="P51" s="705"/>
      <c r="Q51" s="705"/>
    </row>
    <row r="52" spans="1:17" ht="27" customHeight="1">
      <c r="A52" s="76">
        <v>11</v>
      </c>
      <c r="B52" s="736" t="s">
        <v>94</v>
      </c>
      <c r="C52" s="737"/>
      <c r="D52" s="77">
        <v>25140000</v>
      </c>
      <c r="E52" s="79">
        <v>9000000</v>
      </c>
      <c r="F52" s="277">
        <f>SUM(F53:F56)</f>
        <v>13600000</v>
      </c>
      <c r="G52" s="293">
        <f>SUM(G53:G56)</f>
        <v>30900000</v>
      </c>
      <c r="H52" s="284">
        <v>0</v>
      </c>
      <c r="I52" s="74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/>
      <c r="Q52" s="77">
        <v>0</v>
      </c>
    </row>
    <row r="53" spans="1:17" ht="21" customHeight="1">
      <c r="A53" s="88"/>
      <c r="B53" s="739" t="s">
        <v>69</v>
      </c>
      <c r="C53" s="276" t="s">
        <v>87</v>
      </c>
      <c r="D53" s="71">
        <v>6330000</v>
      </c>
      <c r="E53" s="72"/>
      <c r="F53" s="278">
        <v>2100000</v>
      </c>
      <c r="G53" s="294"/>
      <c r="H53" s="284"/>
      <c r="I53" s="74"/>
      <c r="J53" s="77"/>
      <c r="K53" s="77"/>
      <c r="L53" s="77"/>
      <c r="M53" s="77"/>
      <c r="N53" s="77"/>
      <c r="O53" s="77"/>
      <c r="P53" s="77"/>
      <c r="Q53" s="77"/>
    </row>
    <row r="54" spans="1:17" ht="21" customHeight="1">
      <c r="A54" s="106"/>
      <c r="B54" s="740"/>
      <c r="C54" s="276" t="s">
        <v>88</v>
      </c>
      <c r="D54" s="71">
        <v>4810000</v>
      </c>
      <c r="E54" s="72"/>
      <c r="F54" s="278">
        <v>0</v>
      </c>
      <c r="G54" s="294">
        <v>10000000</v>
      </c>
      <c r="H54" s="284"/>
      <c r="I54" s="74"/>
      <c r="J54" s="77"/>
      <c r="K54" s="77"/>
      <c r="L54" s="77"/>
      <c r="M54" s="77"/>
      <c r="N54" s="77"/>
      <c r="O54" s="77"/>
      <c r="P54" s="77"/>
      <c r="Q54" s="77"/>
    </row>
    <row r="55" spans="1:17" ht="21" customHeight="1">
      <c r="A55" s="106"/>
      <c r="B55" s="740"/>
      <c r="C55" s="276" t="s">
        <v>207</v>
      </c>
      <c r="D55" s="71">
        <v>14000000</v>
      </c>
      <c r="E55" s="72">
        <v>9000000</v>
      </c>
      <c r="F55" s="278">
        <v>7000000</v>
      </c>
      <c r="G55" s="294">
        <v>14000000</v>
      </c>
      <c r="H55" s="284"/>
      <c r="I55" s="74"/>
      <c r="J55" s="77"/>
      <c r="K55" s="77"/>
      <c r="L55" s="77"/>
      <c r="M55" s="77"/>
      <c r="N55" s="77"/>
      <c r="O55" s="77"/>
      <c r="P55" s="77"/>
      <c r="Q55" s="77"/>
    </row>
    <row r="56" spans="1:17" ht="36.75" customHeight="1">
      <c r="A56" s="106"/>
      <c r="B56" s="741"/>
      <c r="C56" s="276" t="s">
        <v>208</v>
      </c>
      <c r="D56" s="71"/>
      <c r="E56" s="72"/>
      <c r="F56" s="278">
        <v>4500000</v>
      </c>
      <c r="G56" s="294">
        <v>6900000</v>
      </c>
      <c r="H56" s="284"/>
      <c r="I56" s="74"/>
      <c r="J56" s="77"/>
      <c r="K56" s="77"/>
      <c r="L56" s="77"/>
      <c r="M56" s="77"/>
      <c r="N56" s="77"/>
      <c r="O56" s="77"/>
      <c r="P56" s="77"/>
      <c r="Q56" s="77"/>
    </row>
    <row r="57" spans="1:18" ht="68.25" customHeight="1">
      <c r="A57" s="76" t="s">
        <v>64</v>
      </c>
      <c r="B57" s="742" t="s">
        <v>96</v>
      </c>
      <c r="C57" s="743"/>
      <c r="D57" s="71">
        <v>3719761</v>
      </c>
      <c r="E57" s="72">
        <v>1245475</v>
      </c>
      <c r="F57" s="278">
        <v>427077</v>
      </c>
      <c r="G57" s="294">
        <v>4004678</v>
      </c>
      <c r="H57" s="284"/>
      <c r="I57" s="74"/>
      <c r="J57" s="77"/>
      <c r="K57" s="77"/>
      <c r="L57" s="77"/>
      <c r="M57" s="77"/>
      <c r="N57" s="77"/>
      <c r="O57" s="77"/>
      <c r="P57" s="77"/>
      <c r="Q57" s="77"/>
      <c r="R57" s="313"/>
    </row>
    <row r="58" spans="1:18" ht="21" customHeight="1">
      <c r="A58" s="76" t="s">
        <v>66</v>
      </c>
      <c r="B58" s="742" t="s">
        <v>97</v>
      </c>
      <c r="C58" s="743"/>
      <c r="D58" s="71"/>
      <c r="E58" s="72"/>
      <c r="F58" s="278"/>
      <c r="G58" s="294"/>
      <c r="H58" s="284"/>
      <c r="I58" s="74"/>
      <c r="J58" s="77"/>
      <c r="K58" s="77"/>
      <c r="L58" s="77"/>
      <c r="M58" s="77"/>
      <c r="N58" s="77"/>
      <c r="O58" s="77"/>
      <c r="P58" s="77"/>
      <c r="Q58" s="77"/>
      <c r="R58" s="313"/>
    </row>
    <row r="59" spans="1:18" ht="29.25" customHeight="1">
      <c r="A59" s="89">
        <v>12</v>
      </c>
      <c r="B59" s="755" t="s">
        <v>98</v>
      </c>
      <c r="C59" s="756"/>
      <c r="D59" s="539">
        <f>D35-D36+D52</f>
        <v>1245475</v>
      </c>
      <c r="E59" s="164">
        <f aca="true" t="shared" si="6" ref="E59:Q59">E35-E36+E52</f>
        <v>427077</v>
      </c>
      <c r="F59" s="279">
        <f t="shared" si="6"/>
        <v>4004678</v>
      </c>
      <c r="G59" s="637">
        <f t="shared" si="6"/>
        <v>0</v>
      </c>
      <c r="H59" s="285">
        <f t="shared" si="6"/>
        <v>0</v>
      </c>
      <c r="I59" s="90">
        <f t="shared" si="6"/>
        <v>0</v>
      </c>
      <c r="J59" s="90">
        <f>J35-J36+J52</f>
        <v>0</v>
      </c>
      <c r="K59" s="90">
        <f t="shared" si="6"/>
        <v>0</v>
      </c>
      <c r="L59" s="90">
        <f t="shared" si="6"/>
        <v>0</v>
      </c>
      <c r="M59" s="90">
        <f>M35-M36+M52</f>
        <v>0</v>
      </c>
      <c r="N59" s="90">
        <f t="shared" si="6"/>
        <v>0</v>
      </c>
      <c r="O59" s="90">
        <f t="shared" si="6"/>
        <v>-0.4299999997019768</v>
      </c>
      <c r="P59" s="90">
        <f t="shared" si="6"/>
        <v>-0.32249999791383743</v>
      </c>
      <c r="Q59" s="90">
        <f t="shared" si="6"/>
        <v>0</v>
      </c>
      <c r="R59" s="314"/>
    </row>
    <row r="60" spans="1:18" ht="22.5" customHeight="1">
      <c r="A60" s="91">
        <v>13</v>
      </c>
      <c r="B60" s="747" t="s">
        <v>99</v>
      </c>
      <c r="C60" s="748"/>
      <c r="D60" s="78">
        <f>'[1]Prognoza długu'!C10</f>
        <v>45737732</v>
      </c>
      <c r="E60" s="79">
        <f>'Prognoza długu'!D10</f>
        <v>47797647</v>
      </c>
      <c r="F60" s="280">
        <f>'Prognoza długu'!E10</f>
        <v>56846062</v>
      </c>
      <c r="G60" s="295">
        <f>'Prognoza długu'!F10</f>
        <v>80811022</v>
      </c>
      <c r="H60" s="286">
        <f>'Prognoza długu'!G10</f>
        <v>73494123</v>
      </c>
      <c r="I60" s="79">
        <f>'Prognoza długu'!H10</f>
        <v>66337670</v>
      </c>
      <c r="J60" s="79">
        <f>'Prognoza długu'!I10</f>
        <v>57637670</v>
      </c>
      <c r="K60" s="78">
        <f>'Prognoza długu'!J10</f>
        <v>48837670</v>
      </c>
      <c r="L60" s="78">
        <f>'Prognoza długu'!K10</f>
        <v>38936500</v>
      </c>
      <c r="M60" s="78">
        <f>'Prognoza długu'!L10</f>
        <v>29874472</v>
      </c>
      <c r="N60" s="78">
        <f>'Prognoza długu'!M10</f>
        <v>19023949</v>
      </c>
      <c r="O60" s="78">
        <f>'Prognoza długu'!N10</f>
        <v>12223949</v>
      </c>
      <c r="P60" s="78">
        <f>'Prognoza długu'!O10</f>
        <v>6500000</v>
      </c>
      <c r="Q60" s="78">
        <f>'Prognoza długu'!P10</f>
        <v>0</v>
      </c>
      <c r="R60" s="315"/>
    </row>
    <row r="61" spans="1:18" ht="65.25" customHeight="1">
      <c r="A61" s="753"/>
      <c r="B61" s="754" t="s">
        <v>69</v>
      </c>
      <c r="C61" s="274" t="s">
        <v>100</v>
      </c>
      <c r="D61" s="77">
        <v>0</v>
      </c>
      <c r="E61" s="74">
        <v>0</v>
      </c>
      <c r="F61" s="278">
        <v>2100000</v>
      </c>
      <c r="G61" s="294">
        <v>2050000</v>
      </c>
      <c r="H61" s="636"/>
      <c r="I61" s="71"/>
      <c r="J61" s="71"/>
      <c r="K61" s="71"/>
      <c r="L61" s="71"/>
      <c r="M61" s="71"/>
      <c r="N61" s="71"/>
      <c r="O61" s="71"/>
      <c r="P61" s="71"/>
      <c r="Q61" s="74"/>
      <c r="R61" s="313"/>
    </row>
    <row r="62" spans="1:17" ht="87.75" customHeight="1">
      <c r="A62" s="753"/>
      <c r="B62" s="754"/>
      <c r="C62" s="274" t="s">
        <v>221</v>
      </c>
      <c r="D62" s="77">
        <v>0</v>
      </c>
      <c r="E62" s="74">
        <v>0</v>
      </c>
      <c r="F62" s="278">
        <v>0</v>
      </c>
      <c r="G62" s="294">
        <v>50000</v>
      </c>
      <c r="H62" s="636"/>
      <c r="I62" s="71"/>
      <c r="J62" s="71"/>
      <c r="K62" s="71"/>
      <c r="L62" s="71"/>
      <c r="M62" s="71"/>
      <c r="N62" s="71"/>
      <c r="O62" s="71"/>
      <c r="P62" s="71"/>
      <c r="Q62" s="74"/>
    </row>
    <row r="63" spans="1:17" ht="66" customHeight="1">
      <c r="A63" s="91">
        <v>14</v>
      </c>
      <c r="B63" s="734" t="s">
        <v>101</v>
      </c>
      <c r="C63" s="735"/>
      <c r="D63" s="77">
        <v>0</v>
      </c>
      <c r="E63" s="74">
        <v>0</v>
      </c>
      <c r="F63" s="277">
        <v>0</v>
      </c>
      <c r="G63" s="293">
        <v>0</v>
      </c>
      <c r="H63" s="287">
        <v>0</v>
      </c>
      <c r="I63" s="74">
        <v>0</v>
      </c>
      <c r="J63" s="74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/>
      <c r="Q63" s="77">
        <v>0</v>
      </c>
    </row>
    <row r="64" spans="1:17" ht="39" customHeight="1">
      <c r="A64" s="91">
        <v>15</v>
      </c>
      <c r="B64" s="734" t="s">
        <v>210</v>
      </c>
      <c r="C64" s="735"/>
      <c r="D64" s="92">
        <f>D28/D13*100</f>
        <v>5.510659630018439</v>
      </c>
      <c r="E64" s="165">
        <f>E28/E13*100</f>
        <v>10.653694792951553</v>
      </c>
      <c r="F64" s="635">
        <f>F28/F13*100</f>
        <v>6.477032056994767</v>
      </c>
      <c r="G64" s="689">
        <f>G28/G13*100</f>
        <v>7.681273236109194</v>
      </c>
      <c r="H64" s="288">
        <f>H28/H13*100</f>
        <v>7.506169450285547</v>
      </c>
      <c r="I64" s="165"/>
      <c r="J64" s="165"/>
      <c r="K64" s="92"/>
      <c r="L64" s="92"/>
      <c r="M64" s="92"/>
      <c r="N64" s="92"/>
      <c r="O64" s="92"/>
      <c r="P64" s="92"/>
      <c r="Q64" s="92"/>
    </row>
    <row r="65" spans="1:17" ht="39" customHeight="1">
      <c r="A65" s="91">
        <v>16</v>
      </c>
      <c r="B65" s="734" t="s">
        <v>209</v>
      </c>
      <c r="C65" s="735"/>
      <c r="D65" s="92">
        <f>D60/D13*100</f>
        <v>55.98274647127499</v>
      </c>
      <c r="E65" s="165">
        <f>E60/E13*100</f>
        <v>56.16915056018266</v>
      </c>
      <c r="F65" s="281">
        <f>F60/F13*100</f>
        <v>53.03685286603531</v>
      </c>
      <c r="G65" s="689">
        <f>G60/G13*100</f>
        <v>59.61733708075556</v>
      </c>
      <c r="H65" s="288">
        <f>H60/H13*100</f>
        <v>45.34772901761856</v>
      </c>
      <c r="I65" s="165"/>
      <c r="J65" s="165"/>
      <c r="K65" s="92"/>
      <c r="L65" s="92"/>
      <c r="M65" s="92"/>
      <c r="N65" s="92"/>
      <c r="O65" s="92"/>
      <c r="P65" s="92"/>
      <c r="Q65" s="92"/>
    </row>
    <row r="66" spans="1:17" ht="66.75" customHeight="1">
      <c r="A66" s="93">
        <v>17</v>
      </c>
      <c r="B66" s="734" t="s">
        <v>102</v>
      </c>
      <c r="C66" s="735"/>
      <c r="D66" s="272" t="s">
        <v>68</v>
      </c>
      <c r="E66" s="166">
        <v>0.1911</v>
      </c>
      <c r="F66" s="282">
        <v>0.1292</v>
      </c>
      <c r="G66" s="296">
        <v>0.0951</v>
      </c>
      <c r="H66" s="289">
        <v>0.17</v>
      </c>
      <c r="I66" s="166">
        <v>0.2356</v>
      </c>
      <c r="J66" s="166">
        <v>0.2342</v>
      </c>
      <c r="K66" s="272">
        <f>1/3*((H14+H16-'Prognoza długu'!G25)/WPF!H13+(WPF!I14+WPF!I16-'Prognoza długu'!H25)/WPF!I13+(WPF!J14+WPF!J16-'Prognoza długu'!I25)/WPF!J13)</f>
        <v>0.15906671890516094</v>
      </c>
      <c r="L66" s="272">
        <f>1/3*((I14+I16-'Prognoza długu'!H25)/WPF!I13+(WPF!J14+WPF!J16-'Prognoza długu'!I25)/WPF!J13+(WPF!K14+WPF!K16-'Prognoza długu'!J25)/WPF!K13)</f>
        <v>0.11575732888182513</v>
      </c>
      <c r="M66" s="272">
        <f>1/3*((J14+J16-'Prognoza długu'!I25)/WPF!J13+(WPF!K14+WPF!K16-'Prognoza długu'!J25)/WPF!K13+(WPF!L14+WPF!L16-'Prognoza długu'!K25)/WPF!L13)</f>
        <v>0.13577966890329896</v>
      </c>
      <c r="N66" s="272">
        <f>1/3*((K14+K16-'Prognoza długu'!J25)/WPF!K13+(WPF!L14+WPF!L16-'Prognoza długu'!K25)/WPF!L13+(WPF!M14+WPF!M16-'Prognoza długu'!L25)/WPF!M13)</f>
        <v>0.16556678272930572</v>
      </c>
      <c r="O66" s="272">
        <f>1/3*((L14+L16-'Prognoza długu'!K25)/WPF!L13+(WPF!M14+WPF!M16-'Prognoza długu'!L25)/WPF!M13+(WPF!N14+WPF!N16-'Prognoza długu'!M25)/WPF!N13)</f>
        <v>0.19196927950582476</v>
      </c>
      <c r="P66" s="272">
        <f>1/3*((M14+M16-'Prognoza długu'!L25)/WPF!M13+(WPF!N14+WPF!N16-'Prognoza długu'!M25)/WPF!N13+(WPF!O14+WPF!O16-'Prognoza długu'!N25)/WPF!O13)</f>
        <v>0.20551150559938924</v>
      </c>
      <c r="Q66" s="272">
        <f>1/3*((N14+N16-'Prognoza długu'!M25)/WPF!N13+(WPF!O14+WPF!O16-'Prognoza długu'!N25)/WPF!O13+(WPF!P14+WPF!P16-'Prognoza długu'!O25)/WPF!P13)</f>
        <v>0.2116025508841768</v>
      </c>
    </row>
    <row r="67" spans="1:17" ht="33.75" customHeight="1">
      <c r="A67" s="93">
        <v>18</v>
      </c>
      <c r="B67" s="734" t="s">
        <v>103</v>
      </c>
      <c r="C67" s="735"/>
      <c r="D67" s="94">
        <f>D28/D13</f>
        <v>0.055106596300184385</v>
      </c>
      <c r="E67" s="166">
        <f aca="true" t="shared" si="7" ref="E67:O67">E28/E13</f>
        <v>0.10653694792951553</v>
      </c>
      <c r="F67" s="282">
        <f t="shared" si="7"/>
        <v>0.06477032056994766</v>
      </c>
      <c r="G67" s="296">
        <v>0.0598</v>
      </c>
      <c r="H67" s="166">
        <f>H28/H13</f>
        <v>0.07506169450285548</v>
      </c>
      <c r="I67" s="166">
        <f t="shared" si="7"/>
        <v>0.0978785392011162</v>
      </c>
      <c r="J67" s="166">
        <f>J28/J13</f>
        <v>0.1084129748750003</v>
      </c>
      <c r="K67" s="94">
        <f t="shared" si="7"/>
        <v>0.09920682355335594</v>
      </c>
      <c r="L67" s="94">
        <f t="shared" si="7"/>
        <v>0.10067604278417809</v>
      </c>
      <c r="M67" s="94">
        <f t="shared" si="7"/>
        <v>0.08593227494450306</v>
      </c>
      <c r="N67" s="94">
        <f t="shared" si="7"/>
        <v>0.09019822699292285</v>
      </c>
      <c r="O67" s="94">
        <f t="shared" si="7"/>
        <v>0.05663289337967868</v>
      </c>
      <c r="P67" s="94">
        <f>P28/P13</f>
        <v>0.045051293615645756</v>
      </c>
      <c r="Q67" s="94">
        <f>Q28/Q13</f>
        <v>0.04644577568454852</v>
      </c>
    </row>
    <row r="68" spans="1:17" ht="38.25" customHeight="1">
      <c r="A68" s="93">
        <v>19</v>
      </c>
      <c r="B68" s="734" t="s">
        <v>104</v>
      </c>
      <c r="C68" s="735"/>
      <c r="D68" s="272" t="s">
        <v>68</v>
      </c>
      <c r="E68" s="166">
        <f>E66-E67</f>
        <v>0.08456305207048447</v>
      </c>
      <c r="F68" s="282">
        <f aca="true" t="shared" si="8" ref="F68:O68">F66-F67</f>
        <v>0.06442967943005234</v>
      </c>
      <c r="G68" s="296">
        <f t="shared" si="8"/>
        <v>0.035300000000000005</v>
      </c>
      <c r="H68" s="289">
        <f t="shared" si="8"/>
        <v>0.09493830549714453</v>
      </c>
      <c r="I68" s="166">
        <f>I66-I67</f>
        <v>0.1377214607988838</v>
      </c>
      <c r="J68" s="166">
        <f t="shared" si="8"/>
        <v>0.12578702512499967</v>
      </c>
      <c r="K68" s="166">
        <f t="shared" si="8"/>
        <v>0.059859895351805</v>
      </c>
      <c r="L68" s="166">
        <f t="shared" si="8"/>
        <v>0.015081286097647043</v>
      </c>
      <c r="M68" s="166">
        <f t="shared" si="8"/>
        <v>0.049847393958795894</v>
      </c>
      <c r="N68" s="166">
        <f t="shared" si="8"/>
        <v>0.07536855573638288</v>
      </c>
      <c r="O68" s="166">
        <f t="shared" si="8"/>
        <v>0.13533638612614607</v>
      </c>
      <c r="P68" s="166">
        <f>P66-P67</f>
        <v>0.1604602119837435</v>
      </c>
      <c r="Q68" s="166">
        <f>Q66-Q67</f>
        <v>0.16515677519962826</v>
      </c>
    </row>
    <row r="69" spans="1:17" ht="16.5" customHeight="1">
      <c r="A69" s="93">
        <v>20</v>
      </c>
      <c r="B69" s="734" t="s">
        <v>105</v>
      </c>
      <c r="C69" s="735"/>
      <c r="D69" s="391">
        <f>'[1]Prognoza długu'!C24</f>
        <v>105850665</v>
      </c>
      <c r="E69" s="78">
        <f>'Prognoza długu'!D24</f>
        <v>87934218</v>
      </c>
      <c r="F69" s="280">
        <f>'Prognoza długu'!E24</f>
        <v>112653007</v>
      </c>
      <c r="G69" s="295">
        <f>'Prognoza długu'!F24</f>
        <v>163519171</v>
      </c>
      <c r="H69" s="290">
        <f>'Prognoza długu'!G24</f>
        <v>154751025</v>
      </c>
      <c r="I69" s="78">
        <f>'Prognoza długu'!H24</f>
        <v>111200483</v>
      </c>
      <c r="J69" s="78">
        <f>'Prognoza długu'!I24</f>
        <v>109514688</v>
      </c>
      <c r="K69" s="78">
        <f>'Prognoza długu'!J24</f>
        <v>116786180</v>
      </c>
      <c r="L69" s="78">
        <f>'Prognoza długu'!K24</f>
        <v>119959546</v>
      </c>
      <c r="M69" s="78">
        <f>'Prognoza długu'!L24</f>
        <v>126112553</v>
      </c>
      <c r="N69" s="78">
        <f>'Prognoza długu'!M24</f>
        <v>129899733</v>
      </c>
      <c r="O69" s="78">
        <f>'Prognoza długu'!N24</f>
        <v>133803825.43</v>
      </c>
      <c r="P69" s="78">
        <f>'Prognoza długu'!O24</f>
        <v>136934692.3225</v>
      </c>
      <c r="Q69" s="78">
        <f>'Prognoza długu'!P24</f>
        <v>138157935</v>
      </c>
    </row>
    <row r="70" spans="1:17" ht="16.5" customHeight="1">
      <c r="A70" s="93">
        <v>21</v>
      </c>
      <c r="B70" s="734" t="s">
        <v>106</v>
      </c>
      <c r="C70" s="735"/>
      <c r="D70" s="78">
        <f>'[1]Prognoza długu'!C25</f>
        <v>72590083</v>
      </c>
      <c r="E70" s="78">
        <f>'Prognoza długu'!D25</f>
        <v>78155472</v>
      </c>
      <c r="F70" s="280">
        <f>'Prognoza długu'!E25</f>
        <v>95385455</v>
      </c>
      <c r="G70" s="295">
        <f>'Prognoza długu'!F25</f>
        <v>106360372</v>
      </c>
      <c r="H70" s="290">
        <f>'Prognoza długu'!G25</f>
        <v>115069340</v>
      </c>
      <c r="I70" s="78">
        <f>'Prognoza długu'!H25</f>
        <v>105800983</v>
      </c>
      <c r="J70" s="78">
        <f>'Prognoza długu'!I25</f>
        <v>106268688</v>
      </c>
      <c r="K70" s="78">
        <f>'Prognoza długu'!J25</f>
        <v>107701180</v>
      </c>
      <c r="L70" s="78">
        <f>'Prognoza długu'!K25</f>
        <v>108537046</v>
      </c>
      <c r="M70" s="78">
        <f>'Prognoza długu'!L25</f>
        <v>109480053.26</v>
      </c>
      <c r="N70" s="78">
        <f>'Prognoza długu'!M25</f>
        <v>109557232.54</v>
      </c>
      <c r="O70" s="78">
        <f>'Prognoza długu'!N25</f>
        <v>111803825.43</v>
      </c>
      <c r="P70" s="78">
        <f>'Prognoza długu'!O25</f>
        <v>112934692.3225</v>
      </c>
      <c r="Q70" s="78">
        <f>'Prognoza długu'!P25</f>
        <v>115157935</v>
      </c>
    </row>
    <row r="71" spans="1:17" ht="35.25" customHeight="1">
      <c r="A71" s="93">
        <v>22</v>
      </c>
      <c r="B71" s="734" t="s">
        <v>135</v>
      </c>
      <c r="C71" s="735"/>
      <c r="D71" s="78">
        <f>D13-D69</f>
        <v>-24150972</v>
      </c>
      <c r="E71" s="78">
        <f aca="true" t="shared" si="9" ref="E71:N71">E13-E69</f>
        <v>-2838313</v>
      </c>
      <c r="F71" s="280">
        <f t="shared" si="9"/>
        <v>-5470814</v>
      </c>
      <c r="G71" s="295">
        <f>G13-G69</f>
        <v>-27969638</v>
      </c>
      <c r="H71" s="290">
        <f t="shared" si="9"/>
        <v>7316899</v>
      </c>
      <c r="I71" s="78">
        <f t="shared" si="9"/>
        <v>7156453</v>
      </c>
      <c r="J71" s="78">
        <f t="shared" si="9"/>
        <v>8700000</v>
      </c>
      <c r="K71" s="78">
        <f t="shared" si="9"/>
        <v>8800000</v>
      </c>
      <c r="L71" s="78">
        <f t="shared" si="9"/>
        <v>9901170</v>
      </c>
      <c r="M71" s="78">
        <f t="shared" si="9"/>
        <v>9062028</v>
      </c>
      <c r="N71" s="78">
        <f t="shared" si="9"/>
        <v>10850523</v>
      </c>
      <c r="O71" s="78">
        <f>O13-O69</f>
        <v>6799999.569999993</v>
      </c>
      <c r="P71" s="78">
        <f>P13-P69</f>
        <v>5723948.67750001</v>
      </c>
      <c r="Q71" s="78">
        <f>Q13-Q69</f>
        <v>6500000</v>
      </c>
    </row>
    <row r="72" spans="1:17" ht="17.25" customHeight="1">
      <c r="A72" s="91">
        <v>23</v>
      </c>
      <c r="B72" s="737" t="s">
        <v>202</v>
      </c>
      <c r="C72" s="733"/>
      <c r="D72" s="77">
        <f>SUM(D73:D77)</f>
        <v>24150972</v>
      </c>
      <c r="E72" s="77">
        <f>SUM(E73:E77)</f>
        <v>2838313</v>
      </c>
      <c r="F72" s="277">
        <f>SUM(F73:F77)</f>
        <v>5470814</v>
      </c>
      <c r="G72" s="293">
        <f>SUM(G73:G77)</f>
        <v>27969638</v>
      </c>
      <c r="H72" s="290"/>
      <c r="I72" s="78"/>
      <c r="J72" s="78"/>
      <c r="K72" s="78"/>
      <c r="L72" s="78"/>
      <c r="M72" s="78"/>
      <c r="N72" s="78"/>
      <c r="O72" s="78"/>
      <c r="P72" s="78"/>
      <c r="Q72" s="78"/>
    </row>
    <row r="73" spans="1:17" ht="15" customHeight="1">
      <c r="A73" s="95" t="s">
        <v>64</v>
      </c>
      <c r="B73" s="732" t="s">
        <v>87</v>
      </c>
      <c r="C73" s="733"/>
      <c r="D73" s="71">
        <v>6330000</v>
      </c>
      <c r="E73" s="71"/>
      <c r="F73" s="278"/>
      <c r="G73" s="295"/>
      <c r="H73" s="290"/>
      <c r="I73" s="78"/>
      <c r="J73" s="78"/>
      <c r="K73" s="78"/>
      <c r="L73" s="78"/>
      <c r="M73" s="78"/>
      <c r="N73" s="78"/>
      <c r="O73" s="78"/>
      <c r="P73" s="78"/>
      <c r="Q73" s="78"/>
    </row>
    <row r="74" spans="1:17" ht="15" customHeight="1">
      <c r="A74" s="95" t="s">
        <v>66</v>
      </c>
      <c r="B74" s="732" t="s">
        <v>88</v>
      </c>
      <c r="C74" s="733"/>
      <c r="D74" s="71">
        <v>4810000</v>
      </c>
      <c r="E74" s="71"/>
      <c r="F74" s="278"/>
      <c r="G74" s="295">
        <v>10000000</v>
      </c>
      <c r="H74" s="290"/>
      <c r="I74" s="78"/>
      <c r="J74" s="78"/>
      <c r="K74" s="78"/>
      <c r="L74" s="78"/>
      <c r="M74" s="78"/>
      <c r="N74" s="78"/>
      <c r="O74" s="78"/>
      <c r="P74" s="78"/>
      <c r="Q74" s="78"/>
    </row>
    <row r="75" spans="1:17" ht="15" customHeight="1">
      <c r="A75" s="95" t="s">
        <v>74</v>
      </c>
      <c r="B75" s="732" t="s">
        <v>200</v>
      </c>
      <c r="C75" s="733"/>
      <c r="D75" s="71"/>
      <c r="E75" s="71"/>
      <c r="F75" s="278"/>
      <c r="G75" s="295"/>
      <c r="H75" s="290"/>
      <c r="I75" s="78"/>
      <c r="J75" s="78"/>
      <c r="K75" s="78"/>
      <c r="L75" s="78"/>
      <c r="M75" s="78"/>
      <c r="N75" s="78"/>
      <c r="O75" s="78"/>
      <c r="P75" s="78"/>
      <c r="Q75" s="78"/>
    </row>
    <row r="76" spans="1:17" ht="48.75" customHeight="1">
      <c r="A76" s="95" t="s">
        <v>77</v>
      </c>
      <c r="B76" s="742" t="s">
        <v>96</v>
      </c>
      <c r="C76" s="733"/>
      <c r="D76" s="71"/>
      <c r="E76" s="71"/>
      <c r="F76" s="278"/>
      <c r="G76" s="295">
        <v>3969638</v>
      </c>
      <c r="H76" s="290"/>
      <c r="I76" s="78"/>
      <c r="J76" s="78"/>
      <c r="K76" s="78"/>
      <c r="L76" s="78"/>
      <c r="M76" s="78"/>
      <c r="N76" s="78"/>
      <c r="O76" s="78"/>
      <c r="P76" s="78"/>
      <c r="Q76" s="78"/>
    </row>
    <row r="77" spans="1:18" ht="15" customHeight="1">
      <c r="A77" s="95" t="s">
        <v>137</v>
      </c>
      <c r="B77" s="751" t="s">
        <v>205</v>
      </c>
      <c r="C77" s="752"/>
      <c r="D77" s="71">
        <v>13010972</v>
      </c>
      <c r="E77" s="71">
        <v>2838313</v>
      </c>
      <c r="F77" s="278">
        <v>5470814</v>
      </c>
      <c r="G77" s="295">
        <v>14000000</v>
      </c>
      <c r="H77" s="290"/>
      <c r="I77" s="78"/>
      <c r="J77" s="78"/>
      <c r="K77" s="78"/>
      <c r="L77" s="78"/>
      <c r="M77" s="78"/>
      <c r="N77" s="78"/>
      <c r="O77" s="78"/>
      <c r="P77" s="78"/>
      <c r="Q77" s="78"/>
      <c r="R77" s="28"/>
    </row>
    <row r="78" spans="1:18" ht="17.25" customHeight="1">
      <c r="A78" s="91">
        <v>24</v>
      </c>
      <c r="B78" s="737" t="s">
        <v>203</v>
      </c>
      <c r="C78" s="733"/>
      <c r="D78" s="77"/>
      <c r="E78" s="77"/>
      <c r="F78" s="277"/>
      <c r="G78" s="295"/>
      <c r="H78" s="290">
        <f aca="true" t="shared" si="10" ref="H78:O78">SUM(H79:H81)</f>
        <v>7316899</v>
      </c>
      <c r="I78" s="78">
        <f t="shared" si="10"/>
        <v>7156453</v>
      </c>
      <c r="J78" s="78">
        <f t="shared" si="10"/>
        <v>8700000</v>
      </c>
      <c r="K78" s="78">
        <f t="shared" si="10"/>
        <v>8800000</v>
      </c>
      <c r="L78" s="78">
        <f t="shared" si="10"/>
        <v>9901170</v>
      </c>
      <c r="M78" s="78">
        <f t="shared" si="10"/>
        <v>9062028</v>
      </c>
      <c r="N78" s="78">
        <f t="shared" si="10"/>
        <v>10850523</v>
      </c>
      <c r="O78" s="78">
        <f t="shared" si="10"/>
        <v>6800000</v>
      </c>
      <c r="P78" s="78">
        <f>SUM(P79:P81)</f>
        <v>5723949</v>
      </c>
      <c r="Q78" s="78">
        <f>SUM(Q79:Q81)</f>
        <v>6500000</v>
      </c>
      <c r="R78" s="271"/>
    </row>
    <row r="79" spans="1:18" ht="15" customHeight="1">
      <c r="A79" s="96" t="s">
        <v>64</v>
      </c>
      <c r="B79" s="732" t="s">
        <v>199</v>
      </c>
      <c r="C79" s="733"/>
      <c r="D79" s="72"/>
      <c r="E79" s="97"/>
      <c r="F79" s="278"/>
      <c r="G79" s="297"/>
      <c r="H79" s="291">
        <f>H30</f>
        <v>3666899</v>
      </c>
      <c r="I79" s="70">
        <f aca="true" t="shared" si="11" ref="I79:O79">I30</f>
        <v>3506453</v>
      </c>
      <c r="J79" s="70">
        <f t="shared" si="11"/>
        <v>2550000</v>
      </c>
      <c r="K79" s="70">
        <f t="shared" si="11"/>
        <v>2550000</v>
      </c>
      <c r="L79" s="70">
        <f t="shared" si="11"/>
        <v>2401170</v>
      </c>
      <c r="M79" s="70">
        <f t="shared" si="11"/>
        <v>62028</v>
      </c>
      <c r="N79" s="70">
        <f t="shared" si="11"/>
        <v>750523</v>
      </c>
      <c r="O79" s="70">
        <f t="shared" si="11"/>
        <v>600000</v>
      </c>
      <c r="P79" s="70">
        <f aca="true" t="shared" si="12" ref="P79:Q81">P30</f>
        <v>423949</v>
      </c>
      <c r="Q79" s="70">
        <f t="shared" si="12"/>
        <v>0</v>
      </c>
      <c r="R79" s="28"/>
    </row>
    <row r="80" spans="1:17" ht="15" customHeight="1">
      <c r="A80" s="96" t="s">
        <v>66</v>
      </c>
      <c r="B80" s="732" t="s">
        <v>204</v>
      </c>
      <c r="C80" s="733"/>
      <c r="D80" s="72"/>
      <c r="E80" s="97"/>
      <c r="F80" s="278"/>
      <c r="G80" s="297"/>
      <c r="H80" s="291">
        <f>H31</f>
        <v>650000</v>
      </c>
      <c r="I80" s="70">
        <f aca="true" t="shared" si="13" ref="I80:O80">I31</f>
        <v>650000</v>
      </c>
      <c r="J80" s="70">
        <f t="shared" si="13"/>
        <v>650000</v>
      </c>
      <c r="K80" s="70">
        <f t="shared" si="13"/>
        <v>750000</v>
      </c>
      <c r="L80" s="70">
        <f t="shared" si="13"/>
        <v>1500000</v>
      </c>
      <c r="M80" s="70">
        <f t="shared" si="13"/>
        <v>1000000</v>
      </c>
      <c r="N80" s="70">
        <f t="shared" si="13"/>
        <v>500000</v>
      </c>
      <c r="O80" s="70">
        <f t="shared" si="13"/>
        <v>500000</v>
      </c>
      <c r="P80" s="70">
        <f t="shared" si="12"/>
        <v>1200000</v>
      </c>
      <c r="Q80" s="70">
        <f t="shared" si="12"/>
        <v>6500000</v>
      </c>
    </row>
    <row r="81" spans="1:17" ht="15" customHeight="1">
      <c r="A81" s="96" t="s">
        <v>74</v>
      </c>
      <c r="B81" s="732" t="s">
        <v>89</v>
      </c>
      <c r="C81" s="733"/>
      <c r="D81" s="72"/>
      <c r="E81" s="97"/>
      <c r="F81" s="278"/>
      <c r="G81" s="297"/>
      <c r="H81" s="291">
        <f>H32</f>
        <v>3000000</v>
      </c>
      <c r="I81" s="70">
        <f aca="true" t="shared" si="14" ref="I81:O81">I32</f>
        <v>3000000</v>
      </c>
      <c r="J81" s="70">
        <f t="shared" si="14"/>
        <v>5500000</v>
      </c>
      <c r="K81" s="70">
        <f t="shared" si="14"/>
        <v>5500000</v>
      </c>
      <c r="L81" s="70">
        <f t="shared" si="14"/>
        <v>6000000</v>
      </c>
      <c r="M81" s="70">
        <f t="shared" si="14"/>
        <v>8000000</v>
      </c>
      <c r="N81" s="70">
        <f t="shared" si="14"/>
        <v>9600000</v>
      </c>
      <c r="O81" s="70">
        <f t="shared" si="14"/>
        <v>5700000</v>
      </c>
      <c r="P81" s="70">
        <f t="shared" si="12"/>
        <v>4100000</v>
      </c>
      <c r="Q81" s="70">
        <f t="shared" si="12"/>
        <v>0</v>
      </c>
    </row>
    <row r="82" spans="1:17" ht="19.5" customHeight="1">
      <c r="A82" s="93">
        <v>25</v>
      </c>
      <c r="B82" s="734" t="s">
        <v>107</v>
      </c>
      <c r="C82" s="735"/>
      <c r="D82" s="78">
        <f>'[1]Prognoza długu'!C46</f>
        <v>28859761</v>
      </c>
      <c r="E82" s="78">
        <f>'Prognoza długu'!D46</f>
        <v>10245475</v>
      </c>
      <c r="F82" s="280">
        <f>'Prognoza długu'!E46</f>
        <v>14027077</v>
      </c>
      <c r="G82" s="295">
        <f>G52+G57</f>
        <v>34904678</v>
      </c>
      <c r="H82" s="290">
        <f aca="true" t="shared" si="15" ref="H82:O82">H52</f>
        <v>0</v>
      </c>
      <c r="I82" s="78">
        <f t="shared" si="15"/>
        <v>0</v>
      </c>
      <c r="J82" s="78">
        <f t="shared" si="15"/>
        <v>0</v>
      </c>
      <c r="K82" s="78">
        <f t="shared" si="15"/>
        <v>0</v>
      </c>
      <c r="L82" s="78">
        <f t="shared" si="15"/>
        <v>0</v>
      </c>
      <c r="M82" s="78">
        <f t="shared" si="15"/>
        <v>0</v>
      </c>
      <c r="N82" s="78">
        <f t="shared" si="15"/>
        <v>0</v>
      </c>
      <c r="O82" s="78">
        <f t="shared" si="15"/>
        <v>0</v>
      </c>
      <c r="P82" s="78">
        <f>P52</f>
        <v>0</v>
      </c>
      <c r="Q82" s="78">
        <f>Q52</f>
        <v>0</v>
      </c>
    </row>
    <row r="83" spans="1:17" ht="19.5" customHeight="1" thickBot="1">
      <c r="A83" s="98">
        <v>26</v>
      </c>
      <c r="B83" s="749" t="s">
        <v>108</v>
      </c>
      <c r="C83" s="750"/>
      <c r="D83" s="99">
        <f>D29</f>
        <v>3463314</v>
      </c>
      <c r="E83" s="168">
        <f aca="true" t="shared" si="16" ref="E83:O83">E29</f>
        <v>6940085</v>
      </c>
      <c r="F83" s="283">
        <f t="shared" si="16"/>
        <v>4551585</v>
      </c>
      <c r="G83" s="298">
        <f t="shared" si="16"/>
        <v>6935040</v>
      </c>
      <c r="H83" s="292">
        <f t="shared" si="16"/>
        <v>7316899</v>
      </c>
      <c r="I83" s="99">
        <f t="shared" si="16"/>
        <v>7156453</v>
      </c>
      <c r="J83" s="99">
        <f t="shared" si="16"/>
        <v>8700000</v>
      </c>
      <c r="K83" s="99">
        <f t="shared" si="16"/>
        <v>8800000</v>
      </c>
      <c r="L83" s="99">
        <f t="shared" si="16"/>
        <v>9901170</v>
      </c>
      <c r="M83" s="99">
        <f t="shared" si="16"/>
        <v>9062028</v>
      </c>
      <c r="N83" s="99">
        <f t="shared" si="16"/>
        <v>10850523</v>
      </c>
      <c r="O83" s="99">
        <f t="shared" si="16"/>
        <v>6800000</v>
      </c>
      <c r="P83" s="99">
        <f>P29</f>
        <v>5723949</v>
      </c>
      <c r="Q83" s="99">
        <f>Q29</f>
        <v>6500000</v>
      </c>
    </row>
    <row r="84" spans="1:17" ht="15.75">
      <c r="A84" s="100"/>
      <c r="B84" s="101"/>
      <c r="C84" s="102"/>
      <c r="D84" s="102"/>
      <c r="E84" s="103"/>
      <c r="F84" s="104"/>
      <c r="G84" s="104"/>
      <c r="H84" s="105"/>
      <c r="I84" s="105"/>
      <c r="J84" s="105"/>
      <c r="K84" s="105"/>
      <c r="L84" s="105"/>
      <c r="M84" s="105"/>
      <c r="N84" s="105"/>
      <c r="O84" s="105"/>
      <c r="P84" s="105"/>
      <c r="Q84" s="105"/>
    </row>
    <row r="85" spans="1:17" ht="12.75">
      <c r="A85" s="67"/>
      <c r="B85" s="67"/>
      <c r="C85" s="64"/>
      <c r="D85" s="64"/>
      <c r="E85" s="65"/>
      <c r="F85" s="66"/>
      <c r="G85" s="66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 ht="12.75">
      <c r="A86" s="67"/>
      <c r="B86" s="67"/>
      <c r="C86" s="64"/>
      <c r="D86" s="64"/>
      <c r="E86" s="65"/>
      <c r="F86" s="66"/>
      <c r="G86" s="66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ht="12.75">
      <c r="A87" s="67"/>
      <c r="B87" s="67"/>
      <c r="C87" s="64"/>
      <c r="D87" s="64"/>
      <c r="E87" s="65"/>
      <c r="F87" s="66"/>
      <c r="G87" s="66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5:7" ht="12.75">
      <c r="E88" s="27"/>
      <c r="F88" s="14"/>
      <c r="G88" s="14"/>
    </row>
  </sheetData>
  <sheetProtection/>
  <mergeCells count="84">
    <mergeCell ref="D49:F49"/>
    <mergeCell ref="A6:M8"/>
    <mergeCell ref="E50:E51"/>
    <mergeCell ref="B13:C13"/>
    <mergeCell ref="L11:L12"/>
    <mergeCell ref="B26:C26"/>
    <mergeCell ref="B14:C14"/>
    <mergeCell ref="F50:F51"/>
    <mergeCell ref="B23:C23"/>
    <mergeCell ref="B24:C24"/>
    <mergeCell ref="K50:K51"/>
    <mergeCell ref="G50:G51"/>
    <mergeCell ref="B70:C70"/>
    <mergeCell ref="B66:C66"/>
    <mergeCell ref="B67:C67"/>
    <mergeCell ref="B64:C64"/>
    <mergeCell ref="I50:I51"/>
    <mergeCell ref="A61:A62"/>
    <mergeCell ref="B61:B62"/>
    <mergeCell ref="B52:C52"/>
    <mergeCell ref="B59:C59"/>
    <mergeCell ref="A48:A51"/>
    <mergeCell ref="E48:Q48"/>
    <mergeCell ref="L50:L51"/>
    <mergeCell ref="G49:Q49"/>
    <mergeCell ref="Q50:Q51"/>
    <mergeCell ref="N50:N51"/>
    <mergeCell ref="B83:C83"/>
    <mergeCell ref="B68:C68"/>
    <mergeCell ref="B74:C74"/>
    <mergeCell ref="B75:C75"/>
    <mergeCell ref="B76:C76"/>
    <mergeCell ref="B77:C77"/>
    <mergeCell ref="B79:C79"/>
    <mergeCell ref="B72:C72"/>
    <mergeCell ref="B82:C82"/>
    <mergeCell ref="O50:O51"/>
    <mergeCell ref="H50:H51"/>
    <mergeCell ref="B71:C71"/>
    <mergeCell ref="B63:C63"/>
    <mergeCell ref="B48:C51"/>
    <mergeCell ref="J50:J51"/>
    <mergeCell ref="B57:C57"/>
    <mergeCell ref="B60:C60"/>
    <mergeCell ref="M50:M51"/>
    <mergeCell ref="D50:D51"/>
    <mergeCell ref="B34:C34"/>
    <mergeCell ref="B29:C29"/>
    <mergeCell ref="B80:C80"/>
    <mergeCell ref="B81:C81"/>
    <mergeCell ref="B78:C78"/>
    <mergeCell ref="B53:B56"/>
    <mergeCell ref="B58:C58"/>
    <mergeCell ref="B35:C35"/>
    <mergeCell ref="B30:B32"/>
    <mergeCell ref="B33:C33"/>
    <mergeCell ref="D9:Q9"/>
    <mergeCell ref="B17:C17"/>
    <mergeCell ref="B18:B22"/>
    <mergeCell ref="B9:C12"/>
    <mergeCell ref="B73:C73"/>
    <mergeCell ref="B69:C69"/>
    <mergeCell ref="B65:C65"/>
    <mergeCell ref="B36:C36"/>
    <mergeCell ref="B28:C28"/>
    <mergeCell ref="B27:C27"/>
    <mergeCell ref="N11:N12"/>
    <mergeCell ref="M11:M12"/>
    <mergeCell ref="I11:I12"/>
    <mergeCell ref="Q11:Q12"/>
    <mergeCell ref="O11:O12"/>
    <mergeCell ref="K11:K12"/>
    <mergeCell ref="J11:J12"/>
    <mergeCell ref="P11:P12"/>
    <mergeCell ref="D10:F10"/>
    <mergeCell ref="D11:D12"/>
    <mergeCell ref="P50:P51"/>
    <mergeCell ref="B15:C15"/>
    <mergeCell ref="A9:A12"/>
    <mergeCell ref="E11:E12"/>
    <mergeCell ref="F11:F12"/>
    <mergeCell ref="H11:H12"/>
    <mergeCell ref="G11:G12"/>
    <mergeCell ref="G10:Q10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4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="70" zoomScaleNormal="70" workbookViewId="0" topLeftCell="B2">
      <selection activeCell="I11" sqref="I11"/>
    </sheetView>
  </sheetViews>
  <sheetFormatPr defaultColWidth="11.57421875" defaultRowHeight="12.75"/>
  <cols>
    <col min="1" max="1" width="3.7109375" style="0" customWidth="1"/>
    <col min="2" max="2" width="41.8515625" style="0" customWidth="1"/>
    <col min="3" max="3" width="13.421875" style="0" customWidth="1"/>
    <col min="4" max="4" width="13.28125" style="0" customWidth="1"/>
    <col min="5" max="5" width="11.7109375" style="0" customWidth="1"/>
    <col min="6" max="6" width="13.7109375" style="0" customWidth="1"/>
    <col min="7" max="7" width="12.28125" style="0" customWidth="1"/>
    <col min="8" max="8" width="11.8515625" style="0" customWidth="1"/>
    <col min="9" max="9" width="12.28125" style="0" customWidth="1"/>
    <col min="10" max="10" width="12.8515625" style="0" customWidth="1"/>
    <col min="11" max="11" width="11.7109375" style="0" customWidth="1"/>
    <col min="12" max="12" width="11.8515625" style="0" customWidth="1"/>
    <col min="13" max="13" width="12.421875" style="0" customWidth="1"/>
    <col min="14" max="16" width="12.28125" style="0" customWidth="1"/>
  </cols>
  <sheetData>
    <row r="1" spans="1:16" ht="17.25" customHeigh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47" t="s">
        <v>109</v>
      </c>
      <c r="L1" s="47"/>
      <c r="M1" s="108"/>
      <c r="N1" s="108"/>
      <c r="O1" s="108"/>
      <c r="P1" s="108"/>
    </row>
    <row r="2" spans="1:16" ht="2.25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52"/>
      <c r="L2" s="53"/>
      <c r="M2" s="108"/>
      <c r="N2" s="108"/>
      <c r="O2" s="108"/>
      <c r="P2" s="108"/>
    </row>
    <row r="3" spans="1:16" ht="17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57" t="s">
        <v>452</v>
      </c>
      <c r="L3" s="53"/>
      <c r="M3" s="108"/>
      <c r="N3" s="108"/>
      <c r="O3" s="108"/>
      <c r="P3" s="108"/>
    </row>
    <row r="4" spans="1:16" ht="17.2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57" t="s">
        <v>49</v>
      </c>
      <c r="L4" s="53"/>
      <c r="M4" s="108"/>
      <c r="N4" s="108"/>
      <c r="O4" s="108"/>
      <c r="P4" s="108"/>
    </row>
    <row r="5" spans="1:16" ht="17.25" customHeigh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57" t="s">
        <v>450</v>
      </c>
      <c r="L5" s="53"/>
      <c r="M5" s="108"/>
      <c r="N5" s="108"/>
      <c r="O5" s="108"/>
      <c r="P5" s="108"/>
    </row>
    <row r="6" spans="1:16" ht="39.75" customHeight="1" thickBot="1">
      <c r="A6" s="774" t="s">
        <v>371</v>
      </c>
      <c r="B6" s="774"/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4"/>
      <c r="N6" s="774"/>
      <c r="O6" s="774"/>
      <c r="P6" s="774"/>
    </row>
    <row r="7" spans="1:16" ht="17.25" customHeight="1" thickBot="1">
      <c r="A7" s="775" t="s">
        <v>110</v>
      </c>
      <c r="B7" s="772" t="s">
        <v>61</v>
      </c>
      <c r="C7" s="779" t="s">
        <v>422</v>
      </c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1"/>
    </row>
    <row r="8" spans="1:16" ht="17.25" customHeight="1" thickBot="1">
      <c r="A8" s="775"/>
      <c r="B8" s="772"/>
      <c r="C8" s="776" t="s">
        <v>423</v>
      </c>
      <c r="D8" s="777"/>
      <c r="E8" s="778"/>
      <c r="F8" s="745" t="s">
        <v>62</v>
      </c>
      <c r="G8" s="773"/>
      <c r="H8" s="773"/>
      <c r="I8" s="773"/>
      <c r="J8" s="773"/>
      <c r="K8" s="773"/>
      <c r="L8" s="773"/>
      <c r="M8" s="773"/>
      <c r="N8" s="773"/>
      <c r="O8" s="773"/>
      <c r="P8" s="773"/>
    </row>
    <row r="9" spans="1:16" ht="17.25" customHeight="1" thickBot="1">
      <c r="A9" s="775"/>
      <c r="B9" s="772"/>
      <c r="C9" s="541">
        <v>2009</v>
      </c>
      <c r="D9" s="337">
        <v>2010</v>
      </c>
      <c r="E9" s="336">
        <v>2011</v>
      </c>
      <c r="F9" s="338">
        <v>2012</v>
      </c>
      <c r="G9" s="336">
        <v>2013</v>
      </c>
      <c r="H9" s="336">
        <v>2014</v>
      </c>
      <c r="I9" s="336">
        <v>2015</v>
      </c>
      <c r="J9" s="336">
        <v>2016</v>
      </c>
      <c r="K9" s="336">
        <v>2017</v>
      </c>
      <c r="L9" s="336">
        <v>2018</v>
      </c>
      <c r="M9" s="336">
        <v>2019</v>
      </c>
      <c r="N9" s="336">
        <v>2020</v>
      </c>
      <c r="O9" s="336">
        <v>2021</v>
      </c>
      <c r="P9" s="336">
        <v>2022</v>
      </c>
    </row>
    <row r="10" spans="1:16" ht="20.25" customHeight="1">
      <c r="A10" s="109">
        <v>1</v>
      </c>
      <c r="B10" s="110" t="s">
        <v>111</v>
      </c>
      <c r="C10" s="111">
        <v>45737732</v>
      </c>
      <c r="D10" s="111">
        <v>47797647</v>
      </c>
      <c r="E10" s="259">
        <f>D10+WPF!F52-WPF!F29</f>
        <v>56846062</v>
      </c>
      <c r="F10" s="265">
        <f>E10+WPF!G52-WPF!G29</f>
        <v>80811022</v>
      </c>
      <c r="G10" s="111">
        <f>F10+WPF!H52-WPF!H29</f>
        <v>73494123</v>
      </c>
      <c r="H10" s="111">
        <f>G10+WPF!I52-WPF!I29</f>
        <v>66337670</v>
      </c>
      <c r="I10" s="111">
        <f>H10+WPF!J52-WPF!J29</f>
        <v>57637670</v>
      </c>
      <c r="J10" s="111">
        <f>I10+WPF!K52-WPF!K29</f>
        <v>48837670</v>
      </c>
      <c r="K10" s="111">
        <f>J10+WPF!L52-WPF!L29</f>
        <v>38936500</v>
      </c>
      <c r="L10" s="111">
        <f>K10+WPF!M52-WPF!M29</f>
        <v>29874472</v>
      </c>
      <c r="M10" s="111">
        <f>L10+WPF!N52-WPF!N29</f>
        <v>19023949</v>
      </c>
      <c r="N10" s="111">
        <f>M10+WPF!O52-WPF!O29</f>
        <v>12223949</v>
      </c>
      <c r="O10" s="111">
        <f>N10+WPF!P52-WPF!P29</f>
        <v>6500000</v>
      </c>
      <c r="P10" s="111">
        <f>O10+WPF!Q52-WPF!Q29</f>
        <v>0</v>
      </c>
    </row>
    <row r="11" spans="1:16" ht="33.75" customHeight="1">
      <c r="A11" s="112" t="s">
        <v>64</v>
      </c>
      <c r="B11" s="41" t="s">
        <v>112</v>
      </c>
      <c r="C11" s="39">
        <v>0</v>
      </c>
      <c r="D11" s="39">
        <v>0</v>
      </c>
      <c r="E11" s="260">
        <v>2100000</v>
      </c>
      <c r="F11" s="266">
        <v>2050000</v>
      </c>
      <c r="G11" s="260"/>
      <c r="H11" s="39"/>
      <c r="I11" s="39"/>
      <c r="J11" s="39"/>
      <c r="K11" s="39"/>
      <c r="L11" s="39"/>
      <c r="M11" s="39"/>
      <c r="N11" s="39"/>
      <c r="O11" s="39"/>
      <c r="P11" s="39">
        <v>0</v>
      </c>
    </row>
    <row r="12" spans="1:16" ht="42" customHeight="1">
      <c r="A12" s="112" t="s">
        <v>66</v>
      </c>
      <c r="B12" s="41" t="s">
        <v>222</v>
      </c>
      <c r="C12" s="39">
        <v>0</v>
      </c>
      <c r="D12" s="39">
        <v>0</v>
      </c>
      <c r="E12" s="260">
        <v>0</v>
      </c>
      <c r="F12" s="266">
        <v>50000</v>
      </c>
      <c r="G12" s="260"/>
      <c r="H12" s="39"/>
      <c r="I12" s="39"/>
      <c r="J12" s="39"/>
      <c r="K12" s="39"/>
      <c r="L12" s="39"/>
      <c r="M12" s="39"/>
      <c r="N12" s="39"/>
      <c r="O12" s="39"/>
      <c r="P12" s="39">
        <v>0</v>
      </c>
    </row>
    <row r="13" spans="1:16" ht="55.5" customHeight="1">
      <c r="A13" s="112" t="s">
        <v>113</v>
      </c>
      <c r="B13" s="41" t="s">
        <v>114</v>
      </c>
      <c r="C13" s="39">
        <v>0</v>
      </c>
      <c r="D13" s="39">
        <v>0</v>
      </c>
      <c r="E13" s="260">
        <v>0</v>
      </c>
      <c r="F13" s="266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7" ht="24" customHeight="1">
      <c r="A14" s="112" t="s">
        <v>115</v>
      </c>
      <c r="B14" s="41" t="s">
        <v>116</v>
      </c>
      <c r="C14" s="39">
        <f>'[1]WPF'!D29</f>
        <v>3463314</v>
      </c>
      <c r="D14" s="39">
        <f>WPF!E29</f>
        <v>6940085</v>
      </c>
      <c r="E14" s="260">
        <f>WPF!F29</f>
        <v>4551585</v>
      </c>
      <c r="F14" s="266">
        <f>WPF!G29</f>
        <v>6935040</v>
      </c>
      <c r="G14" s="39">
        <f>WPF!H29</f>
        <v>7316899</v>
      </c>
      <c r="H14" s="39">
        <f>WPF!I29</f>
        <v>7156453</v>
      </c>
      <c r="I14" s="39">
        <f>WPF!J29</f>
        <v>8700000</v>
      </c>
      <c r="J14" s="39">
        <f>WPF!K29</f>
        <v>8800000</v>
      </c>
      <c r="K14" s="39">
        <f>WPF!L29</f>
        <v>9901170</v>
      </c>
      <c r="L14" s="39">
        <f>WPF!M29</f>
        <v>9062028</v>
      </c>
      <c r="M14" s="39">
        <f>WPF!N29</f>
        <v>10850523</v>
      </c>
      <c r="N14" s="39">
        <f>WPF!O29</f>
        <v>6800000</v>
      </c>
      <c r="O14" s="39">
        <f>WPF!P29</f>
        <v>5723949</v>
      </c>
      <c r="P14" s="39">
        <f>WPF!Q29</f>
        <v>6500000</v>
      </c>
      <c r="Q14" s="14"/>
    </row>
    <row r="15" spans="1:16" ht="24" customHeight="1">
      <c r="A15" s="113" t="s">
        <v>117</v>
      </c>
      <c r="B15" s="114" t="s">
        <v>118</v>
      </c>
      <c r="C15" s="542"/>
      <c r="D15" s="115">
        <v>0.1911</v>
      </c>
      <c r="E15" s="263">
        <f>WPF!F66</f>
        <v>0.1292</v>
      </c>
      <c r="F15" s="267">
        <f>WPF!G66</f>
        <v>0.0951</v>
      </c>
      <c r="G15" s="263">
        <f>WPF!H66</f>
        <v>0.17</v>
      </c>
      <c r="H15" s="263">
        <f>WPF!I66</f>
        <v>0.2356</v>
      </c>
      <c r="I15" s="263">
        <f>WPF!J66</f>
        <v>0.2342</v>
      </c>
      <c r="J15" s="115">
        <f>1/3*((WPF!H14+WPF!H16-'Prognoza długu'!G25)/WPF!H13+(WPF!I14+WPF!I16-'Prognoza długu'!H25)/WPF!I13+(WPF!J14+WPF!J16-'Prognoza długu'!I25)/WPF!J13)</f>
        <v>0.15906671890516094</v>
      </c>
      <c r="K15" s="115">
        <f>1/3*((WPF!I14+WPF!I16-'Prognoza długu'!H25)/WPF!I13+(WPF!J14+WPF!J16-'Prognoza długu'!I25)/WPF!J13+(WPF!K14+WPF!K16-'Prognoza długu'!J25)/WPF!K13)</f>
        <v>0.11575732888182513</v>
      </c>
      <c r="L15" s="115">
        <f>1/3*((WPF!J14+WPF!J16-'Prognoza długu'!I25)/WPF!J13+(WPF!K14+WPF!K16-'Prognoza długu'!J25)/WPF!K13+(WPF!L14+WPF!L16-'Prognoza długu'!K25)/WPF!L13)</f>
        <v>0.13577966890329896</v>
      </c>
      <c r="M15" s="115">
        <f>1/3*((WPF!K14+WPF!K16-'Prognoza długu'!J25)/WPF!K13+(WPF!L14+WPF!L16-'Prognoza długu'!K25)/WPF!L13+(WPF!M14+WPF!M16-'Prognoza długu'!L25)/WPF!M13)</f>
        <v>0.16556678272930572</v>
      </c>
      <c r="N15" s="115">
        <f>1/3*((WPF!L14+WPF!L16-'Prognoza długu'!K25)/WPF!L13+(WPF!M14+WPF!M16-'Prognoza długu'!L25)/WPF!M13+(WPF!N14+WPF!N16-'Prognoza długu'!M25)/WPF!N13)</f>
        <v>0.19196927950582476</v>
      </c>
      <c r="O15" s="115">
        <f>1/3*((WPF!L14+WPF!L16-'Prognoza długu'!K25)/WPF!L13+(WPF!M14+WPF!M16-'Prognoza długu'!L25)/WPF!M13+(WPF!N14+WPF!N16-'Prognoza długu'!M25)/WPF!N13)</f>
        <v>0.19196927950582476</v>
      </c>
      <c r="P15" s="115">
        <f>1/3*((WPF!M14+WPF!M16-'Prognoza długu'!L25)/WPF!M13+(WPF!N14+WPF!N16-'Prognoza długu'!M25)/WPF!N13+(WPF!O14+WPF!O16-'Prognoza długu'!N25)/WPF!O13)</f>
        <v>0.20551150559938924</v>
      </c>
    </row>
    <row r="16" spans="1:16" ht="30.75" customHeight="1">
      <c r="A16" s="113" t="s">
        <v>119</v>
      </c>
      <c r="B16" s="114" t="s">
        <v>120</v>
      </c>
      <c r="C16" s="542" t="s">
        <v>79</v>
      </c>
      <c r="D16" s="115">
        <f>(WPF!E33+WPF!E29)/WPF!E13</f>
        <v>0.10653694792951553</v>
      </c>
      <c r="E16" s="263">
        <f>(WPF!F33+WPF!F29)/WPF!F13</f>
        <v>0.06477032056994766</v>
      </c>
      <c r="F16" s="267">
        <v>0.0598</v>
      </c>
      <c r="G16" s="115">
        <f>(WPF!H33+WPF!H29)/WPF!H13</f>
        <v>0.07506169450285548</v>
      </c>
      <c r="H16" s="115">
        <f>(WPF!I33+WPF!I29)/WPF!I13</f>
        <v>0.0978785392011162</v>
      </c>
      <c r="I16" s="115">
        <f>(WPF!J33+WPF!J29)/WPF!J13</f>
        <v>0.1084129748750003</v>
      </c>
      <c r="J16" s="115">
        <f>(WPF!K33+WPF!K29)/WPF!K13</f>
        <v>0.09920682355335594</v>
      </c>
      <c r="K16" s="115">
        <f>(WPF!L33+WPF!L29)/WPF!L13</f>
        <v>0.10067604278417809</v>
      </c>
      <c r="L16" s="115">
        <f>(WPF!M33+WPF!M29)/WPF!M13</f>
        <v>0.08593227494450306</v>
      </c>
      <c r="M16" s="115">
        <f>(WPF!N33+WPF!N29)/WPF!N13</f>
        <v>0.09019822699292285</v>
      </c>
      <c r="N16" s="115">
        <f>(WPF!O33+WPF!O29)/WPF!O13</f>
        <v>0.05663289337967868</v>
      </c>
      <c r="O16" s="115">
        <f>(WPF!P33+WPF!P29)/WPF!P13</f>
        <v>0.045051293615645756</v>
      </c>
      <c r="P16" s="115">
        <f>(WPF!Q33+WPF!Q29)/WPF!Q13</f>
        <v>0.04644577568454852</v>
      </c>
    </row>
    <row r="17" spans="1:16" ht="35.25" customHeight="1">
      <c r="A17" s="113" t="s">
        <v>121</v>
      </c>
      <c r="B17" s="116" t="s">
        <v>122</v>
      </c>
      <c r="C17" s="542"/>
      <c r="D17" s="115">
        <f>D15-D16</f>
        <v>0.08456305207048447</v>
      </c>
      <c r="E17" s="263">
        <f aca="true" t="shared" si="0" ref="E17:N17">E15-E16</f>
        <v>0.06442967943005234</v>
      </c>
      <c r="F17" s="267">
        <f t="shared" si="0"/>
        <v>0.035300000000000005</v>
      </c>
      <c r="G17" s="115">
        <f t="shared" si="0"/>
        <v>0.09493830549714453</v>
      </c>
      <c r="H17" s="115">
        <f t="shared" si="0"/>
        <v>0.1377214607988838</v>
      </c>
      <c r="I17" s="115">
        <f t="shared" si="0"/>
        <v>0.12578702512499967</v>
      </c>
      <c r="J17" s="115">
        <f t="shared" si="0"/>
        <v>0.059859895351805</v>
      </c>
      <c r="K17" s="115">
        <f t="shared" si="0"/>
        <v>0.015081286097647043</v>
      </c>
      <c r="L17" s="115">
        <f t="shared" si="0"/>
        <v>0.049847393958795894</v>
      </c>
      <c r="M17" s="115">
        <f t="shared" si="0"/>
        <v>0.07536855573638288</v>
      </c>
      <c r="N17" s="115">
        <f t="shared" si="0"/>
        <v>0.13533638612614607</v>
      </c>
      <c r="O17" s="115">
        <f>O15-O16</f>
        <v>0.14691798589017901</v>
      </c>
      <c r="P17" s="115">
        <f>P15-P16</f>
        <v>0.15906572991484072</v>
      </c>
    </row>
    <row r="18" spans="1:16" ht="30" customHeight="1">
      <c r="A18" s="112" t="s">
        <v>123</v>
      </c>
      <c r="B18" s="41" t="s">
        <v>124</v>
      </c>
      <c r="C18" s="117">
        <f>'[1]WPF'!D28/'[1]WPF'!D13%</f>
        <v>5.510659630018438</v>
      </c>
      <c r="D18" s="117">
        <f>WPF!E28/WPF!E13%</f>
        <v>10.653694792951551</v>
      </c>
      <c r="E18" s="261">
        <f>WPF!F28/WPF!F13%</f>
        <v>6.477032056994767</v>
      </c>
      <c r="F18" s="268">
        <f>WPF!G28/WPF!G13%</f>
        <v>7.6812732361091935</v>
      </c>
      <c r="G18" s="117">
        <f>WPF!H28/WPF!H13%</f>
        <v>7.506169450285548</v>
      </c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6" ht="29.25" customHeight="1">
      <c r="A19" s="112" t="s">
        <v>125</v>
      </c>
      <c r="B19" s="41" t="s">
        <v>126</v>
      </c>
      <c r="C19" s="117">
        <f>C10/'[1]WPF'!D13%</f>
        <v>55.982746471274986</v>
      </c>
      <c r="D19" s="117">
        <f>D10/WPF!E13%</f>
        <v>56.16915056018265</v>
      </c>
      <c r="E19" s="261">
        <f>E10/WPF!F13%</f>
        <v>53.03685286603532</v>
      </c>
      <c r="F19" s="268">
        <f>F10/WPF!G13%</f>
        <v>59.61733708075556</v>
      </c>
      <c r="G19" s="117">
        <f>G10/WPF!H13%</f>
        <v>45.34772901761856</v>
      </c>
      <c r="H19" s="117"/>
      <c r="I19" s="117"/>
      <c r="J19" s="117"/>
      <c r="K19" s="117"/>
      <c r="L19" s="117"/>
      <c r="M19" s="117"/>
      <c r="N19" s="117"/>
      <c r="O19" s="117"/>
      <c r="P19" s="117"/>
    </row>
    <row r="20" spans="1:16" ht="17.25" customHeight="1">
      <c r="A20" s="60" t="s">
        <v>127</v>
      </c>
      <c r="B20" s="118" t="s">
        <v>128</v>
      </c>
      <c r="C20" s="42">
        <f>C21+C22</f>
        <v>81699693</v>
      </c>
      <c r="D20" s="42">
        <f aca="true" t="shared" si="1" ref="D20:N20">D21+D22</f>
        <v>85095905</v>
      </c>
      <c r="E20" s="262">
        <f t="shared" si="1"/>
        <v>107182193</v>
      </c>
      <c r="F20" s="269">
        <f>F21+F22</f>
        <v>135549533</v>
      </c>
      <c r="G20" s="42">
        <f t="shared" si="1"/>
        <v>162067924</v>
      </c>
      <c r="H20" s="42">
        <f t="shared" si="1"/>
        <v>118356936</v>
      </c>
      <c r="I20" s="42">
        <f t="shared" si="1"/>
        <v>118214688</v>
      </c>
      <c r="J20" s="119">
        <f t="shared" si="1"/>
        <v>125586180</v>
      </c>
      <c r="K20" s="42">
        <f t="shared" si="1"/>
        <v>129860716</v>
      </c>
      <c r="L20" s="42">
        <f t="shared" si="1"/>
        <v>135174581</v>
      </c>
      <c r="M20" s="42">
        <f t="shared" si="1"/>
        <v>140750256</v>
      </c>
      <c r="N20" s="42">
        <f t="shared" si="1"/>
        <v>140603825</v>
      </c>
      <c r="O20" s="42">
        <f>O21+O22</f>
        <v>142658641</v>
      </c>
      <c r="P20" s="42">
        <f>P21+P22</f>
        <v>144657935</v>
      </c>
    </row>
    <row r="21" spans="1:16" ht="16.5" customHeight="1">
      <c r="A21" s="112" t="s">
        <v>64</v>
      </c>
      <c r="B21" s="41" t="s">
        <v>129</v>
      </c>
      <c r="C21" s="39">
        <f>'[1]WPF'!D14</f>
        <v>80665439</v>
      </c>
      <c r="D21" s="39">
        <f>WPF!E14</f>
        <v>84339995</v>
      </c>
      <c r="E21" s="260">
        <f>WPF!F14</f>
        <v>101368763</v>
      </c>
      <c r="F21" s="266">
        <f>WPF!G14</f>
        <v>106774757</v>
      </c>
      <c r="G21" s="39">
        <f>WPF!H14</f>
        <v>115206973</v>
      </c>
      <c r="H21" s="39">
        <f>WPF!I14</f>
        <v>118126336</v>
      </c>
      <c r="I21" s="39">
        <f>WPF!J14</f>
        <v>118175588</v>
      </c>
      <c r="J21" s="120">
        <f>WPF!K14</f>
        <v>125586180</v>
      </c>
      <c r="K21" s="39">
        <f>WPF!L14</f>
        <v>129860716</v>
      </c>
      <c r="L21" s="39">
        <f>WPF!M14</f>
        <v>135174581</v>
      </c>
      <c r="M21" s="39">
        <f>WPF!N14</f>
        <v>140750256</v>
      </c>
      <c r="N21" s="39">
        <f>WPF!O14</f>
        <v>140603825</v>
      </c>
      <c r="O21" s="39">
        <f>WPF!P14</f>
        <v>142658641</v>
      </c>
      <c r="P21" s="39">
        <f>WPF!Q14</f>
        <v>144657935</v>
      </c>
    </row>
    <row r="22" spans="1:16" ht="16.5" customHeight="1">
      <c r="A22" s="112" t="s">
        <v>66</v>
      </c>
      <c r="B22" s="41" t="s">
        <v>67</v>
      </c>
      <c r="C22" s="39">
        <f>'[1]WPF'!D15</f>
        <v>1034254</v>
      </c>
      <c r="D22" s="39">
        <f>WPF!E15</f>
        <v>755910</v>
      </c>
      <c r="E22" s="260">
        <f>WPF!F15</f>
        <v>5813430</v>
      </c>
      <c r="F22" s="266">
        <f>WPF!G15</f>
        <v>28774776</v>
      </c>
      <c r="G22" s="39">
        <f>WPF!H15</f>
        <v>46860951</v>
      </c>
      <c r="H22" s="39">
        <f>WPF!I15</f>
        <v>230600</v>
      </c>
      <c r="I22" s="39">
        <f>WPF!J15</f>
        <v>39100</v>
      </c>
      <c r="J22" s="39">
        <f>WPF!K15</f>
        <v>0</v>
      </c>
      <c r="K22" s="39">
        <f>WPF!L15</f>
        <v>0</v>
      </c>
      <c r="L22" s="39">
        <f>WPF!M15</f>
        <v>0</v>
      </c>
      <c r="M22" s="39">
        <f>WPF!N15</f>
        <v>0</v>
      </c>
      <c r="N22" s="39">
        <f>WPF!O15</f>
        <v>0</v>
      </c>
      <c r="O22" s="39">
        <f>WPF!P15</f>
        <v>0</v>
      </c>
      <c r="P22" s="39">
        <f>WPF!Q15</f>
        <v>0</v>
      </c>
    </row>
    <row r="23" spans="1:16" ht="16.5" customHeight="1">
      <c r="A23" s="112" t="s">
        <v>68</v>
      </c>
      <c r="B23" s="41" t="s">
        <v>70</v>
      </c>
      <c r="C23" s="39">
        <f>'[1]WPF'!D16</f>
        <v>197354</v>
      </c>
      <c r="D23" s="39">
        <f>WPF!E16</f>
        <v>255910</v>
      </c>
      <c r="E23" s="260">
        <f>WPF!F16</f>
        <v>5637026</v>
      </c>
      <c r="F23" s="266">
        <f>WPF!G16</f>
        <v>26263900</v>
      </c>
      <c r="G23" s="39">
        <f>WPF!H16</f>
        <v>44000000</v>
      </c>
      <c r="H23" s="39">
        <f>WPF!I16</f>
        <v>0</v>
      </c>
      <c r="I23" s="39">
        <f>WPF!J16</f>
        <v>0</v>
      </c>
      <c r="J23" s="39">
        <f>WPF!K16</f>
        <v>0</v>
      </c>
      <c r="K23" s="39">
        <f>WPF!L16</f>
        <v>0</v>
      </c>
      <c r="L23" s="39">
        <f>WPF!M16</f>
        <v>0</v>
      </c>
      <c r="M23" s="39">
        <f>WPF!N16</f>
        <v>0</v>
      </c>
      <c r="N23" s="39">
        <f>WPF!O16</f>
        <v>0</v>
      </c>
      <c r="O23" s="39">
        <f>WPF!P16</f>
        <v>0</v>
      </c>
      <c r="P23" s="39">
        <f>WPF!Q16</f>
        <v>0</v>
      </c>
    </row>
    <row r="24" spans="1:16" ht="16.5" customHeight="1">
      <c r="A24" s="60" t="s">
        <v>130</v>
      </c>
      <c r="B24" s="118" t="s">
        <v>131</v>
      </c>
      <c r="C24" s="42">
        <f>C25+C26</f>
        <v>105850665</v>
      </c>
      <c r="D24" s="42">
        <f>D25+D26</f>
        <v>87934218</v>
      </c>
      <c r="E24" s="262">
        <f>E25+E26</f>
        <v>112653007</v>
      </c>
      <c r="F24" s="269">
        <f>F25+F26</f>
        <v>163519171</v>
      </c>
      <c r="G24" s="42">
        <f>G25+G26</f>
        <v>154751025</v>
      </c>
      <c r="H24" s="42">
        <f aca="true" t="shared" si="2" ref="H24:P24">H25+H26</f>
        <v>111200483</v>
      </c>
      <c r="I24" s="42">
        <f t="shared" si="2"/>
        <v>109514688</v>
      </c>
      <c r="J24" s="42">
        <f t="shared" si="2"/>
        <v>116786180</v>
      </c>
      <c r="K24" s="42">
        <f t="shared" si="2"/>
        <v>119959546</v>
      </c>
      <c r="L24" s="42">
        <f t="shared" si="2"/>
        <v>126112553</v>
      </c>
      <c r="M24" s="42">
        <f t="shared" si="2"/>
        <v>129899733</v>
      </c>
      <c r="N24" s="42">
        <f t="shared" si="2"/>
        <v>133803825.43</v>
      </c>
      <c r="O24" s="42">
        <f>O25+O26</f>
        <v>136934692.3225</v>
      </c>
      <c r="P24" s="42">
        <f t="shared" si="2"/>
        <v>138157935</v>
      </c>
    </row>
    <row r="25" spans="1:16" ht="17.25" customHeight="1">
      <c r="A25" s="112" t="s">
        <v>64</v>
      </c>
      <c r="B25" s="41" t="s">
        <v>132</v>
      </c>
      <c r="C25" s="39">
        <f>'[1]WPF'!D17+'[1]WPF'!D33</f>
        <v>72590083</v>
      </c>
      <c r="D25" s="39">
        <f>WPF!E17+WPF!E33</f>
        <v>78155472</v>
      </c>
      <c r="E25" s="260">
        <f>WPF!F17+WPF!F33</f>
        <v>95385455</v>
      </c>
      <c r="F25" s="266">
        <f>WPF!G17+WPF!G33</f>
        <v>106360372</v>
      </c>
      <c r="G25" s="39">
        <f>WPF!H17+WPF!H33</f>
        <v>115069340</v>
      </c>
      <c r="H25" s="39">
        <f>WPF!I17+WPF!I33</f>
        <v>105800983</v>
      </c>
      <c r="I25" s="39">
        <f>WPF!J17+WPF!J33</f>
        <v>106268688</v>
      </c>
      <c r="J25" s="39">
        <f>WPF!K17+WPF!K33</f>
        <v>107701180</v>
      </c>
      <c r="K25" s="39">
        <f>WPF!L17+WPF!L33</f>
        <v>108537046</v>
      </c>
      <c r="L25" s="39">
        <f>WPF!M17+WPF!M33</f>
        <v>109480053.26</v>
      </c>
      <c r="M25" s="39">
        <f>WPF!N17+WPF!N33</f>
        <v>109557232.54</v>
      </c>
      <c r="N25" s="39">
        <f>WPF!O17+WPF!O33</f>
        <v>111803825.43</v>
      </c>
      <c r="O25" s="39">
        <f>WPF!P17+WPF!P33</f>
        <v>112934692.3225</v>
      </c>
      <c r="P25" s="39">
        <f>WPF!Q17+WPF!Q33</f>
        <v>115157935</v>
      </c>
    </row>
    <row r="26" spans="1:16" ht="17.25" customHeight="1">
      <c r="A26" s="112" t="s">
        <v>66</v>
      </c>
      <c r="B26" s="41" t="s">
        <v>133</v>
      </c>
      <c r="C26" s="39">
        <f>'[1]WPF'!D36</f>
        <v>33260582</v>
      </c>
      <c r="D26" s="39">
        <f>WPF!E36</f>
        <v>9778746</v>
      </c>
      <c r="E26" s="260">
        <f>WPF!F36</f>
        <v>17267552</v>
      </c>
      <c r="F26" s="266">
        <f>WPF!G36</f>
        <v>57158799</v>
      </c>
      <c r="G26" s="39">
        <f>WPF!H36</f>
        <v>39681685</v>
      </c>
      <c r="H26" s="39">
        <f>WPF!I36</f>
        <v>5399500</v>
      </c>
      <c r="I26" s="39">
        <f>WPF!J36</f>
        <v>3246000</v>
      </c>
      <c r="J26" s="39">
        <f>WPF!K36</f>
        <v>9085000</v>
      </c>
      <c r="K26" s="39">
        <f>WPF!L36</f>
        <v>11422500</v>
      </c>
      <c r="L26" s="39">
        <f>WPF!M36</f>
        <v>16632499.74</v>
      </c>
      <c r="M26" s="39">
        <f>WPF!N36</f>
        <v>20342500.46</v>
      </c>
      <c r="N26" s="39">
        <f>WPF!O36</f>
        <v>22000000</v>
      </c>
      <c r="O26" s="39">
        <f>WPF!P36</f>
        <v>24000000</v>
      </c>
      <c r="P26" s="39">
        <f>WPF!Q36</f>
        <v>23000000</v>
      </c>
    </row>
    <row r="27" spans="1:16" ht="31.5" customHeight="1">
      <c r="A27" s="60" t="s">
        <v>134</v>
      </c>
      <c r="B27" s="118" t="s">
        <v>135</v>
      </c>
      <c r="C27" s="42">
        <f>C20-C24</f>
        <v>-24150972</v>
      </c>
      <c r="D27" s="42">
        <f>D20-D24</f>
        <v>-2838313</v>
      </c>
      <c r="E27" s="262">
        <f>E20-E24</f>
        <v>-5470814</v>
      </c>
      <c r="F27" s="269">
        <f>F20-F24</f>
        <v>-27969638</v>
      </c>
      <c r="G27" s="42">
        <f>G20-G24</f>
        <v>7316899</v>
      </c>
      <c r="H27" s="42">
        <f aca="true" t="shared" si="3" ref="H27:P27">H20-H24</f>
        <v>7156453</v>
      </c>
      <c r="I27" s="42">
        <f t="shared" si="3"/>
        <v>8700000</v>
      </c>
      <c r="J27" s="42">
        <f t="shared" si="3"/>
        <v>8800000</v>
      </c>
      <c r="K27" s="42">
        <f t="shared" si="3"/>
        <v>9901170</v>
      </c>
      <c r="L27" s="42">
        <f t="shared" si="3"/>
        <v>9062028</v>
      </c>
      <c r="M27" s="42">
        <f t="shared" si="3"/>
        <v>10850523</v>
      </c>
      <c r="N27" s="42">
        <f t="shared" si="3"/>
        <v>6799999.569999993</v>
      </c>
      <c r="O27" s="42">
        <f>O20-O24</f>
        <v>5723948.67750001</v>
      </c>
      <c r="P27" s="42">
        <f t="shared" si="3"/>
        <v>6500000</v>
      </c>
    </row>
    <row r="28" spans="1:16" ht="15.75" customHeight="1">
      <c r="A28" s="60" t="s">
        <v>136</v>
      </c>
      <c r="B28" s="118" t="s">
        <v>202</v>
      </c>
      <c r="C28" s="42">
        <f>SUM(C29:C33)</f>
        <v>24150972</v>
      </c>
      <c r="D28" s="42">
        <f>SUM(D29:D33)</f>
        <v>2838313</v>
      </c>
      <c r="E28" s="262">
        <f>SUM(E29:E33)</f>
        <v>5470814</v>
      </c>
      <c r="F28" s="269">
        <f>SUM(F29:F33)</f>
        <v>27969638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>
      <c r="A29" s="61" t="s">
        <v>64</v>
      </c>
      <c r="B29" s="44" t="s">
        <v>87</v>
      </c>
      <c r="C29" s="39">
        <v>6330000</v>
      </c>
      <c r="D29" s="39"/>
      <c r="E29" s="260"/>
      <c r="F29" s="269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customHeight="1">
      <c r="A30" s="61" t="s">
        <v>66</v>
      </c>
      <c r="B30" s="44" t="s">
        <v>88</v>
      </c>
      <c r="C30" s="39">
        <v>4810000</v>
      </c>
      <c r="D30" s="39"/>
      <c r="E30" s="260"/>
      <c r="F30" s="269">
        <v>10000000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75" customHeight="1">
      <c r="A31" s="61" t="s">
        <v>74</v>
      </c>
      <c r="B31" s="44" t="s">
        <v>200</v>
      </c>
      <c r="C31" s="39"/>
      <c r="D31" s="39"/>
      <c r="E31" s="260"/>
      <c r="F31" s="269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57" customHeight="1">
      <c r="A32" s="61" t="s">
        <v>77</v>
      </c>
      <c r="B32" s="58" t="s">
        <v>96</v>
      </c>
      <c r="C32" s="39"/>
      <c r="D32" s="39"/>
      <c r="E32" s="260"/>
      <c r="F32" s="269">
        <v>3969638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5.75" customHeight="1">
      <c r="A33" s="61" t="s">
        <v>137</v>
      </c>
      <c r="B33" s="44" t="s">
        <v>95</v>
      </c>
      <c r="C33" s="39">
        <v>13010972</v>
      </c>
      <c r="D33" s="39">
        <v>2838313</v>
      </c>
      <c r="E33" s="260">
        <v>5470814</v>
      </c>
      <c r="F33" s="269">
        <v>14000000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5.75" customHeight="1">
      <c r="A34" s="156"/>
      <c r="B34" s="157"/>
      <c r="C34" s="157"/>
      <c r="D34" s="158"/>
      <c r="E34" s="158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</row>
    <row r="35" spans="1:16" ht="21.75" customHeight="1">
      <c r="A35" s="160"/>
      <c r="B35" s="161"/>
      <c r="C35" s="161"/>
      <c r="D35" s="162"/>
      <c r="E35" s="162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</row>
    <row r="36" spans="1:16" ht="22.5" customHeight="1">
      <c r="A36" s="160"/>
      <c r="B36" s="161"/>
      <c r="C36" s="161"/>
      <c r="D36" s="162"/>
      <c r="E36" s="162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</row>
    <row r="37" spans="1:16" ht="15.75" customHeight="1">
      <c r="A37" s="160"/>
      <c r="B37" s="161"/>
      <c r="C37" s="161"/>
      <c r="D37" s="162"/>
      <c r="E37" s="162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</row>
    <row r="38" spans="1:16" ht="15.75" customHeight="1" thickBot="1">
      <c r="A38" s="160"/>
      <c r="B38" s="161"/>
      <c r="C38" s="161"/>
      <c r="D38" s="162"/>
      <c r="E38" s="162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</row>
    <row r="39" spans="1:16" ht="15.75" customHeight="1" thickBot="1">
      <c r="A39" s="775" t="s">
        <v>110</v>
      </c>
      <c r="B39" s="771" t="s">
        <v>61</v>
      </c>
      <c r="C39" s="540"/>
      <c r="D39" s="758" t="s">
        <v>422</v>
      </c>
      <c r="E39" s="758"/>
      <c r="F39" s="758"/>
      <c r="G39" s="758"/>
      <c r="H39" s="758"/>
      <c r="I39" s="758"/>
      <c r="J39" s="758"/>
      <c r="K39" s="758"/>
      <c r="L39" s="758"/>
      <c r="M39" s="758"/>
      <c r="N39" s="758"/>
      <c r="O39" s="758"/>
      <c r="P39" s="759"/>
    </row>
    <row r="40" spans="1:16" ht="15.75" customHeight="1" thickBot="1">
      <c r="A40" s="775"/>
      <c r="B40" s="772"/>
      <c r="C40" s="776" t="s">
        <v>423</v>
      </c>
      <c r="D40" s="777"/>
      <c r="E40" s="778"/>
      <c r="F40" s="745" t="s">
        <v>62</v>
      </c>
      <c r="G40" s="773"/>
      <c r="H40" s="773"/>
      <c r="I40" s="773"/>
      <c r="J40" s="773"/>
      <c r="K40" s="773"/>
      <c r="L40" s="773"/>
      <c r="M40" s="773"/>
      <c r="N40" s="773"/>
      <c r="O40" s="773"/>
      <c r="P40" s="773"/>
    </row>
    <row r="41" spans="1:16" ht="15.75" customHeight="1" thickBot="1">
      <c r="A41" s="775"/>
      <c r="B41" s="772"/>
      <c r="C41" s="541">
        <v>2009</v>
      </c>
      <c r="D41" s="337">
        <v>2010</v>
      </c>
      <c r="E41" s="336">
        <v>2011</v>
      </c>
      <c r="F41" s="338">
        <v>2012</v>
      </c>
      <c r="G41" s="336">
        <v>2013</v>
      </c>
      <c r="H41" s="336">
        <v>2014</v>
      </c>
      <c r="I41" s="336">
        <v>2015</v>
      </c>
      <c r="J41" s="336">
        <v>2016</v>
      </c>
      <c r="K41" s="336">
        <v>2017</v>
      </c>
      <c r="L41" s="336">
        <v>2018</v>
      </c>
      <c r="M41" s="336">
        <v>2019</v>
      </c>
      <c r="N41" s="336">
        <v>2020</v>
      </c>
      <c r="O41" s="336">
        <v>2021</v>
      </c>
      <c r="P41" s="336">
        <v>2022</v>
      </c>
    </row>
    <row r="42" spans="1:16" ht="14.25" customHeight="1">
      <c r="A42" s="60" t="s">
        <v>138</v>
      </c>
      <c r="B42" s="118" t="s">
        <v>203</v>
      </c>
      <c r="C42" s="42"/>
      <c r="D42" s="42"/>
      <c r="E42" s="262"/>
      <c r="F42" s="269"/>
      <c r="G42" s="42">
        <f aca="true" t="shared" si="4" ref="G42:N42">SUM(G43:G45)</f>
        <v>7316899</v>
      </c>
      <c r="H42" s="42">
        <f t="shared" si="4"/>
        <v>7156453</v>
      </c>
      <c r="I42" s="42">
        <f t="shared" si="4"/>
        <v>8700000</v>
      </c>
      <c r="J42" s="42">
        <f t="shared" si="4"/>
        <v>8800000</v>
      </c>
      <c r="K42" s="42">
        <f t="shared" si="4"/>
        <v>9901170</v>
      </c>
      <c r="L42" s="42">
        <f t="shared" si="4"/>
        <v>9062028</v>
      </c>
      <c r="M42" s="42">
        <f t="shared" si="4"/>
        <v>10850523</v>
      </c>
      <c r="N42" s="42">
        <f t="shared" si="4"/>
        <v>6800000</v>
      </c>
      <c r="O42" s="42">
        <f>SUM(O43:O45)</f>
        <v>5723949</v>
      </c>
      <c r="P42" s="42">
        <f>SUM(P43:P45)</f>
        <v>6500000</v>
      </c>
    </row>
    <row r="43" spans="1:16" ht="14.25" customHeight="1">
      <c r="A43" s="62" t="s">
        <v>64</v>
      </c>
      <c r="B43" s="44" t="s">
        <v>199</v>
      </c>
      <c r="C43" s="40"/>
      <c r="D43" s="63"/>
      <c r="E43" s="260"/>
      <c r="F43" s="266"/>
      <c r="G43" s="40">
        <f aca="true" t="shared" si="5" ref="G43:N43">G53</f>
        <v>3666899</v>
      </c>
      <c r="H43" s="40">
        <f t="shared" si="5"/>
        <v>3506453</v>
      </c>
      <c r="I43" s="40">
        <f t="shared" si="5"/>
        <v>2550000</v>
      </c>
      <c r="J43" s="40">
        <f>J53</f>
        <v>2550000</v>
      </c>
      <c r="K43" s="40">
        <f t="shared" si="5"/>
        <v>2401170</v>
      </c>
      <c r="L43" s="40">
        <f t="shared" si="5"/>
        <v>62028</v>
      </c>
      <c r="M43" s="40">
        <f t="shared" si="5"/>
        <v>750523</v>
      </c>
      <c r="N43" s="40">
        <f t="shared" si="5"/>
        <v>600000</v>
      </c>
      <c r="O43" s="40">
        <f aca="true" t="shared" si="6" ref="O43:P45">O53</f>
        <v>423949</v>
      </c>
      <c r="P43" s="40">
        <f t="shared" si="6"/>
        <v>0</v>
      </c>
    </row>
    <row r="44" spans="1:16" ht="14.25" customHeight="1">
      <c r="A44" s="62" t="s">
        <v>66</v>
      </c>
      <c r="B44" s="44" t="s">
        <v>204</v>
      </c>
      <c r="C44" s="40"/>
      <c r="D44" s="63"/>
      <c r="E44" s="260"/>
      <c r="F44" s="266"/>
      <c r="G44" s="40">
        <f aca="true" t="shared" si="7" ref="G44:N44">G54</f>
        <v>650000</v>
      </c>
      <c r="H44" s="40">
        <f t="shared" si="7"/>
        <v>650000</v>
      </c>
      <c r="I44" s="40">
        <f t="shared" si="7"/>
        <v>650000</v>
      </c>
      <c r="J44" s="40">
        <f t="shared" si="7"/>
        <v>750000</v>
      </c>
      <c r="K44" s="40">
        <f t="shared" si="7"/>
        <v>1500000</v>
      </c>
      <c r="L44" s="40">
        <f t="shared" si="7"/>
        <v>1000000</v>
      </c>
      <c r="M44" s="40">
        <f t="shared" si="7"/>
        <v>500000</v>
      </c>
      <c r="N44" s="40">
        <f t="shared" si="7"/>
        <v>500000</v>
      </c>
      <c r="O44" s="40">
        <f t="shared" si="6"/>
        <v>1200000</v>
      </c>
      <c r="P44" s="40">
        <f t="shared" si="6"/>
        <v>6500000</v>
      </c>
    </row>
    <row r="45" spans="1:16" ht="15" customHeight="1">
      <c r="A45" s="62" t="s">
        <v>74</v>
      </c>
      <c r="B45" s="44" t="s">
        <v>89</v>
      </c>
      <c r="C45" s="40"/>
      <c r="D45" s="63"/>
      <c r="E45" s="260"/>
      <c r="F45" s="266"/>
      <c r="G45" s="40">
        <f aca="true" t="shared" si="8" ref="G45:N45">G55</f>
        <v>3000000</v>
      </c>
      <c r="H45" s="40">
        <f t="shared" si="8"/>
        <v>3000000</v>
      </c>
      <c r="I45" s="40">
        <f t="shared" si="8"/>
        <v>5500000</v>
      </c>
      <c r="J45" s="40">
        <f t="shared" si="8"/>
        <v>5500000</v>
      </c>
      <c r="K45" s="40">
        <f t="shared" si="8"/>
        <v>6000000</v>
      </c>
      <c r="L45" s="40">
        <f t="shared" si="8"/>
        <v>8000000</v>
      </c>
      <c r="M45" s="40">
        <f t="shared" si="8"/>
        <v>9600000</v>
      </c>
      <c r="N45" s="40">
        <f t="shared" si="8"/>
        <v>5700000</v>
      </c>
      <c r="O45" s="40">
        <f t="shared" si="6"/>
        <v>4100000</v>
      </c>
      <c r="P45" s="40">
        <f t="shared" si="6"/>
        <v>0</v>
      </c>
    </row>
    <row r="46" spans="1:16" ht="15.75" customHeight="1">
      <c r="A46" s="60" t="s">
        <v>139</v>
      </c>
      <c r="B46" s="118" t="s">
        <v>107</v>
      </c>
      <c r="C46" s="42">
        <f>'[1]WPF'!D24+'[1]WPF'!D52</f>
        <v>28859761</v>
      </c>
      <c r="D46" s="42">
        <f>WPF!E24+WPF!E52</f>
        <v>10245475</v>
      </c>
      <c r="E46" s="262">
        <f>WPF!F24+WPF!F52</f>
        <v>14027077</v>
      </c>
      <c r="F46" s="269">
        <f>F49+F50+F48</f>
        <v>34904678</v>
      </c>
      <c r="G46" s="42">
        <f>WPF!H24+WPF!H52</f>
        <v>0</v>
      </c>
      <c r="H46" s="42">
        <f>WPF!I24+WPF!I52</f>
        <v>0</v>
      </c>
      <c r="I46" s="42">
        <f>WPF!J24+WPF!J52</f>
        <v>0</v>
      </c>
      <c r="J46" s="42">
        <f>WPF!K24+WPF!K52</f>
        <v>0</v>
      </c>
      <c r="K46" s="42">
        <f>WPF!L24+WPF!L52</f>
        <v>0</v>
      </c>
      <c r="L46" s="42">
        <f>WPF!M24+WPF!M52</f>
        <v>0</v>
      </c>
      <c r="M46" s="42">
        <f>WPF!N24+WPF!N52</f>
        <v>0</v>
      </c>
      <c r="N46" s="42">
        <f>WPF!O24+WPF!O52</f>
        <v>0</v>
      </c>
      <c r="O46" s="42">
        <f>WPF!P24+WPF!P52</f>
        <v>0</v>
      </c>
      <c r="P46" s="42">
        <f>WPF!Q24+WPF!Q52</f>
        <v>0</v>
      </c>
    </row>
    <row r="47" spans="1:16" ht="11.25" customHeight="1">
      <c r="A47" s="112" t="s">
        <v>64</v>
      </c>
      <c r="B47" s="44" t="s">
        <v>87</v>
      </c>
      <c r="C47" s="39">
        <v>6330000</v>
      </c>
      <c r="D47" s="39"/>
      <c r="E47" s="260">
        <v>2100000</v>
      </c>
      <c r="F47" s="266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11.25" customHeight="1">
      <c r="A48" s="112" t="s">
        <v>66</v>
      </c>
      <c r="B48" s="44" t="s">
        <v>88</v>
      </c>
      <c r="C48" s="39">
        <v>4810000</v>
      </c>
      <c r="D48" s="39"/>
      <c r="E48" s="260"/>
      <c r="F48" s="266">
        <v>10000000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1.25" customHeight="1">
      <c r="A49" s="112" t="s">
        <v>74</v>
      </c>
      <c r="B49" s="44" t="s">
        <v>95</v>
      </c>
      <c r="C49" s="39">
        <v>14000000</v>
      </c>
      <c r="D49" s="39">
        <v>9000000</v>
      </c>
      <c r="E49" s="260">
        <v>11500000</v>
      </c>
      <c r="F49" s="266">
        <v>20900000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51.75" customHeight="1">
      <c r="A50" s="112" t="s">
        <v>77</v>
      </c>
      <c r="B50" s="58" t="s">
        <v>96</v>
      </c>
      <c r="C50" s="39">
        <v>3719761</v>
      </c>
      <c r="D50" s="39">
        <v>1245475</v>
      </c>
      <c r="E50" s="260">
        <v>427077</v>
      </c>
      <c r="F50" s="266">
        <v>4004678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4.25" customHeight="1">
      <c r="A51" s="112" t="s">
        <v>137</v>
      </c>
      <c r="B51" s="59" t="s">
        <v>97</v>
      </c>
      <c r="C51" s="39"/>
      <c r="D51" s="39"/>
      <c r="E51" s="260"/>
      <c r="F51" s="266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21" customHeight="1">
      <c r="A52" s="60" t="s">
        <v>201</v>
      </c>
      <c r="B52" s="118" t="s">
        <v>108</v>
      </c>
      <c r="C52" s="42">
        <f>'[1]WPF'!D29+'[1]WPF'!D34</f>
        <v>3463314</v>
      </c>
      <c r="D52" s="42">
        <f>WPF!E29+WPF!E34</f>
        <v>6980085</v>
      </c>
      <c r="E52" s="262">
        <f>WPF!F29+WPF!F34</f>
        <v>4551585</v>
      </c>
      <c r="F52" s="269">
        <f>WPF!G29+WPF!G34</f>
        <v>6935040</v>
      </c>
      <c r="G52" s="42">
        <f>WPF!H29+WPF!H34</f>
        <v>7316899</v>
      </c>
      <c r="H52" s="42">
        <f>WPF!I29+WPF!I34</f>
        <v>7156453</v>
      </c>
      <c r="I52" s="42">
        <f>WPF!J29+WPF!J34</f>
        <v>8700000</v>
      </c>
      <c r="J52" s="42">
        <f>WPF!K29+WPF!K34</f>
        <v>8800000</v>
      </c>
      <c r="K52" s="42">
        <f>WPF!L29+WPF!L34</f>
        <v>9901170</v>
      </c>
      <c r="L52" s="42">
        <f>WPF!M29+WPF!M34</f>
        <v>9062028</v>
      </c>
      <c r="M52" s="42">
        <f>WPF!N29+WPF!N34</f>
        <v>10850523</v>
      </c>
      <c r="N52" s="42">
        <f>WPF!O29+WPF!O34</f>
        <v>6800000</v>
      </c>
      <c r="O52" s="42">
        <f>WPF!P29+WPF!P34</f>
        <v>5723949</v>
      </c>
      <c r="P52" s="42">
        <f>WPF!Q29+WPF!Q34</f>
        <v>6500000</v>
      </c>
    </row>
    <row r="53" spans="1:16" ht="12" customHeight="1">
      <c r="A53" s="62" t="s">
        <v>64</v>
      </c>
      <c r="B53" s="44" t="s">
        <v>87</v>
      </c>
      <c r="C53" s="40">
        <v>2963314</v>
      </c>
      <c r="D53" s="63">
        <v>3340085</v>
      </c>
      <c r="E53" s="260">
        <f>WPF!F30</f>
        <v>2141585</v>
      </c>
      <c r="F53" s="266">
        <f>WPF!G30</f>
        <v>3535040</v>
      </c>
      <c r="G53" s="40">
        <f>WPF!H30</f>
        <v>3666899</v>
      </c>
      <c r="H53" s="40">
        <f>WPF!I30</f>
        <v>3506453</v>
      </c>
      <c r="I53" s="40">
        <f>WPF!J30</f>
        <v>2550000</v>
      </c>
      <c r="J53" s="40">
        <f>WPF!K30</f>
        <v>2550000</v>
      </c>
      <c r="K53" s="40">
        <f>WPF!L30</f>
        <v>2401170</v>
      </c>
      <c r="L53" s="40">
        <f>WPF!M30</f>
        <v>62028</v>
      </c>
      <c r="M53" s="40">
        <f>WPF!N30</f>
        <v>750523</v>
      </c>
      <c r="N53" s="40">
        <f>WPF!O30</f>
        <v>600000</v>
      </c>
      <c r="O53" s="40">
        <f>WPF!P30</f>
        <v>423949</v>
      </c>
      <c r="P53" s="40">
        <f>WPF!Q30</f>
        <v>0</v>
      </c>
    </row>
    <row r="54" spans="1:16" ht="12" customHeight="1">
      <c r="A54" s="62" t="s">
        <v>66</v>
      </c>
      <c r="B54" s="44" t="s">
        <v>88</v>
      </c>
      <c r="C54" s="40">
        <v>500000</v>
      </c>
      <c r="D54" s="63">
        <v>3600000</v>
      </c>
      <c r="E54" s="260">
        <f>WPF!F31</f>
        <v>410000</v>
      </c>
      <c r="F54" s="266">
        <f>WPF!G31</f>
        <v>400000</v>
      </c>
      <c r="G54" s="40">
        <f>WPF!H31</f>
        <v>650000</v>
      </c>
      <c r="H54" s="40">
        <f>WPF!I31</f>
        <v>650000</v>
      </c>
      <c r="I54" s="40">
        <f>WPF!J31</f>
        <v>650000</v>
      </c>
      <c r="J54" s="40">
        <f>WPF!K31</f>
        <v>750000</v>
      </c>
      <c r="K54" s="40">
        <f>WPF!L31</f>
        <v>1500000</v>
      </c>
      <c r="L54" s="40">
        <f>WPF!M31</f>
        <v>1000000</v>
      </c>
      <c r="M54" s="40">
        <f>WPF!N31</f>
        <v>500000</v>
      </c>
      <c r="N54" s="40">
        <f>WPF!O31</f>
        <v>500000</v>
      </c>
      <c r="O54" s="40">
        <f>WPF!P31</f>
        <v>1200000</v>
      </c>
      <c r="P54" s="40">
        <f>WPF!Q31</f>
        <v>6500000</v>
      </c>
    </row>
    <row r="55" spans="1:16" ht="12.75" customHeight="1">
      <c r="A55" s="62" t="s">
        <v>74</v>
      </c>
      <c r="B55" s="44" t="s">
        <v>89</v>
      </c>
      <c r="C55" s="40"/>
      <c r="D55" s="63"/>
      <c r="E55" s="260">
        <f>WPF!F32</f>
        <v>2000000</v>
      </c>
      <c r="F55" s="266">
        <f>WPF!G32</f>
        <v>3000000</v>
      </c>
      <c r="G55" s="40">
        <f>WPF!H32</f>
        <v>3000000</v>
      </c>
      <c r="H55" s="40">
        <f>WPF!I32</f>
        <v>3000000</v>
      </c>
      <c r="I55" s="40">
        <f>WPF!J32</f>
        <v>5500000</v>
      </c>
      <c r="J55" s="40">
        <f>WPF!K32</f>
        <v>5500000</v>
      </c>
      <c r="K55" s="40">
        <f>WPF!L32</f>
        <v>6000000</v>
      </c>
      <c r="L55" s="40">
        <f>WPF!M32</f>
        <v>8000000</v>
      </c>
      <c r="M55" s="40">
        <f>WPF!N32</f>
        <v>9600000</v>
      </c>
      <c r="N55" s="40">
        <f>WPF!O32</f>
        <v>5700000</v>
      </c>
      <c r="O55" s="40">
        <f>WPF!P32</f>
        <v>4100000</v>
      </c>
      <c r="P55" s="40">
        <f>WPF!Q32</f>
        <v>0</v>
      </c>
    </row>
    <row r="56" spans="1:16" ht="36" customHeight="1" thickBot="1">
      <c r="A56" s="121">
        <v>16</v>
      </c>
      <c r="B56" s="122" t="s">
        <v>140</v>
      </c>
      <c r="C56" s="123">
        <f>('[1]WPF'!D14+'[1]WPF'!D24)/'[1]Prognoza długu'!C25%</f>
        <v>116.24893719986517</v>
      </c>
      <c r="D56" s="123">
        <f>(WPF!E14+WPF!E24)/'Prognoza długu'!D25%</f>
        <v>109.50668943564182</v>
      </c>
      <c r="E56" s="264">
        <f>(WPF!F14+WPF!F24)/'Prognoza długu'!E25%</f>
        <v>106.72050576264483</v>
      </c>
      <c r="F56" s="270">
        <f>(WPF!G14+WPF!G24)/'Prognoza długu'!F25%</f>
        <v>104.15480212874773</v>
      </c>
      <c r="G56" s="123">
        <f>(WPF!H14+WPF!H24)/'Prognoza długu'!G25%</f>
        <v>100.11960875068894</v>
      </c>
      <c r="H56" s="123">
        <f>(WPF!I14+WPF!I24)/'Prognoza długu'!H25%</f>
        <v>111.64956378524384</v>
      </c>
      <c r="I56" s="123">
        <f>(WPF!J14+WPF!J24)/'Prognoza długu'!I25%</f>
        <v>111.20452338698301</v>
      </c>
      <c r="J56" s="123">
        <f>(WPF!K14+WPF!K24)/'Prognoza długu'!J25%</f>
        <v>116.60613189196255</v>
      </c>
      <c r="K56" s="123">
        <f>(WPF!L14+WPF!L24)/'Prognoza długu'!K25%</f>
        <v>119.64644403533887</v>
      </c>
      <c r="L56" s="123">
        <f>(WPF!M14+WPF!M24)/'Prognoza długu'!L25%</f>
        <v>123.4695974060033</v>
      </c>
      <c r="M56" s="123">
        <f>(WPF!N14+WPF!N24)/'Prognoza długu'!M25%</f>
        <v>128.4718979631137</v>
      </c>
      <c r="N56" s="123">
        <f>(WPF!O14+WPF!O24)/'Prognoza długu'!N25%</f>
        <v>125.75940443829586</v>
      </c>
      <c r="O56" s="123">
        <f>(WPF!P14+WPF!P24)/'Prognoza długu'!O25%</f>
        <v>126.31959061137681</v>
      </c>
      <c r="P56" s="123">
        <f>(WPF!Q14+WPF!Q24)/'Prognoza długu'!P25%</f>
        <v>125.6169928715724</v>
      </c>
    </row>
    <row r="57" spans="1:16" ht="12.7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</row>
    <row r="58" spans="1:16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</sheetData>
  <sheetProtection/>
  <mergeCells count="11">
    <mergeCell ref="A39:A41"/>
    <mergeCell ref="B39:B41"/>
    <mergeCell ref="D39:P39"/>
    <mergeCell ref="F40:P40"/>
    <mergeCell ref="A6:P6"/>
    <mergeCell ref="A7:A9"/>
    <mergeCell ref="B7:B9"/>
    <mergeCell ref="C40:E40"/>
    <mergeCell ref="F8:P8"/>
    <mergeCell ref="C8:E8"/>
    <mergeCell ref="C7:P7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09"/>
  <sheetViews>
    <sheetView tabSelected="1" zoomScale="80" zoomScaleNormal="80" zoomScalePageLayoutView="75" workbookViewId="0" topLeftCell="A172">
      <selection activeCell="K183" sqref="K183"/>
    </sheetView>
  </sheetViews>
  <sheetFormatPr defaultColWidth="11.57421875" defaultRowHeight="12.75"/>
  <cols>
    <col min="1" max="1" width="5.57421875" style="0" customWidth="1"/>
    <col min="2" max="2" width="38.00390625" style="0" customWidth="1"/>
    <col min="3" max="3" width="10.421875" style="24" customWidth="1"/>
    <col min="4" max="5" width="8.28125" style="24" customWidth="1"/>
    <col min="6" max="6" width="5.28125" style="24" customWidth="1"/>
    <col min="7" max="7" width="7.00390625" style="24" customWidth="1"/>
    <col min="8" max="8" width="7.8515625" style="24" customWidth="1"/>
    <col min="9" max="9" width="13.57421875" style="24" customWidth="1"/>
    <col min="10" max="10" width="12.00390625" style="24" customWidth="1"/>
    <col min="11" max="11" width="10.8515625" style="24" customWidth="1"/>
    <col min="12" max="12" width="12.140625" style="24" customWidth="1"/>
    <col min="13" max="13" width="12.57421875" style="24" customWidth="1"/>
    <col min="14" max="14" width="12.7109375" style="24" customWidth="1"/>
    <col min="15" max="15" width="12.28125" style="24" customWidth="1"/>
    <col min="16" max="16" width="13.00390625" style="24" customWidth="1"/>
    <col min="17" max="17" width="12.140625" style="24" customWidth="1"/>
    <col min="18" max="18" width="13.57421875" style="0" customWidth="1"/>
    <col min="19" max="19" width="13.8515625" style="0" bestFit="1" customWidth="1"/>
    <col min="20" max="20" width="11.8515625" style="0" bestFit="1" customWidth="1"/>
  </cols>
  <sheetData>
    <row r="1" spans="1:18" s="26" customFormat="1" ht="15" customHeight="1">
      <c r="A1" s="243"/>
      <c r="B1" s="125"/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5"/>
      <c r="N1" s="125"/>
      <c r="O1" s="47" t="s">
        <v>141</v>
      </c>
      <c r="P1" s="47"/>
      <c r="Q1" s="47"/>
      <c r="R1" s="125"/>
    </row>
    <row r="2" spans="1:18" s="28" customFormat="1" ht="4.5" customHeight="1">
      <c r="A2" s="243"/>
      <c r="B2" s="125"/>
      <c r="C2" s="125"/>
      <c r="D2" s="125"/>
      <c r="E2" s="125"/>
      <c r="F2" s="125"/>
      <c r="G2" s="127"/>
      <c r="H2" s="125"/>
      <c r="I2" s="125"/>
      <c r="J2" s="125"/>
      <c r="K2" s="125"/>
      <c r="L2" s="125"/>
      <c r="M2" s="125"/>
      <c r="N2" s="125"/>
      <c r="O2" s="52"/>
      <c r="P2" s="53"/>
      <c r="Q2" s="53"/>
      <c r="R2" s="125"/>
    </row>
    <row r="3" spans="1:18" s="28" customFormat="1" ht="12.75" customHeight="1">
      <c r="A3" s="243"/>
      <c r="B3" s="125"/>
      <c r="C3" s="125"/>
      <c r="D3" s="125"/>
      <c r="E3" s="125"/>
      <c r="F3" s="125"/>
      <c r="G3" s="128"/>
      <c r="H3" s="125"/>
      <c r="I3" s="125"/>
      <c r="J3" s="125"/>
      <c r="K3" s="125"/>
      <c r="L3" s="125"/>
      <c r="M3" s="125"/>
      <c r="N3" s="125"/>
      <c r="O3" s="57" t="s">
        <v>452</v>
      </c>
      <c r="P3" s="53"/>
      <c r="Q3" s="53"/>
      <c r="R3" s="125"/>
    </row>
    <row r="4" spans="1:18" s="28" customFormat="1" ht="12.75" customHeight="1">
      <c r="A4" s="243"/>
      <c r="B4" s="125"/>
      <c r="C4" s="125"/>
      <c r="D4" s="125"/>
      <c r="E4" s="125"/>
      <c r="F4" s="125"/>
      <c r="G4" s="128"/>
      <c r="H4" s="125"/>
      <c r="I4" s="125"/>
      <c r="J4" s="125"/>
      <c r="K4" s="125"/>
      <c r="L4" s="125"/>
      <c r="M4" s="125"/>
      <c r="N4" s="125"/>
      <c r="O4" s="57" t="s">
        <v>49</v>
      </c>
      <c r="P4" s="53"/>
      <c r="Q4" s="53"/>
      <c r="R4" s="125"/>
    </row>
    <row r="5" spans="1:18" s="28" customFormat="1" ht="16.5" customHeight="1">
      <c r="A5" s="243"/>
      <c r="B5" s="125"/>
      <c r="C5" s="125"/>
      <c r="D5" s="125"/>
      <c r="E5" s="125"/>
      <c r="F5" s="125"/>
      <c r="G5" s="128"/>
      <c r="H5" s="125"/>
      <c r="I5" s="125"/>
      <c r="J5" s="334"/>
      <c r="K5" s="125"/>
      <c r="L5" s="125"/>
      <c r="M5" s="125"/>
      <c r="N5" s="125"/>
      <c r="O5" s="57" t="s">
        <v>450</v>
      </c>
      <c r="P5" s="53"/>
      <c r="Q5" s="53"/>
      <c r="R5" s="125"/>
    </row>
    <row r="6" spans="1:18" s="28" customFormat="1" ht="9" customHeight="1">
      <c r="A6" s="243"/>
      <c r="B6" s="125"/>
      <c r="C6" s="125"/>
      <c r="D6" s="125"/>
      <c r="E6" s="125"/>
      <c r="F6" s="125"/>
      <c r="G6" s="128"/>
      <c r="H6" s="125"/>
      <c r="I6" s="125"/>
      <c r="J6" s="334"/>
      <c r="K6" s="125"/>
      <c r="L6" s="125"/>
      <c r="M6" s="125"/>
      <c r="N6" s="125"/>
      <c r="O6" s="57"/>
      <c r="P6" s="53"/>
      <c r="Q6" s="53"/>
      <c r="R6" s="125"/>
    </row>
    <row r="7" spans="1:18" s="28" customFormat="1" ht="12.75" customHeight="1">
      <c r="A7" s="859" t="s">
        <v>437</v>
      </c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  <c r="Q7" s="861"/>
      <c r="R7" s="862"/>
    </row>
    <row r="8" spans="1:18" s="28" customFormat="1" ht="12.75" customHeight="1" thickBot="1">
      <c r="A8" s="863"/>
      <c r="B8" s="864"/>
      <c r="C8" s="864"/>
      <c r="D8" s="864"/>
      <c r="E8" s="864"/>
      <c r="F8" s="864"/>
      <c r="G8" s="864"/>
      <c r="H8" s="864"/>
      <c r="I8" s="864"/>
      <c r="J8" s="864"/>
      <c r="K8" s="864"/>
      <c r="L8" s="864"/>
      <c r="M8" s="864"/>
      <c r="N8" s="864"/>
      <c r="O8" s="864"/>
      <c r="P8" s="864"/>
      <c r="Q8" s="865"/>
      <c r="R8" s="866"/>
    </row>
    <row r="9" spans="1:18" s="28" customFormat="1" ht="12.75" customHeight="1">
      <c r="A9" s="838" t="s">
        <v>110</v>
      </c>
      <c r="B9" s="847" t="s">
        <v>142</v>
      </c>
      <c r="C9" s="850" t="s">
        <v>143</v>
      </c>
      <c r="D9" s="867" t="s">
        <v>223</v>
      </c>
      <c r="E9" s="867"/>
      <c r="F9" s="867" t="s">
        <v>144</v>
      </c>
      <c r="G9" s="867"/>
      <c r="H9" s="867"/>
      <c r="I9" s="844" t="s">
        <v>145</v>
      </c>
      <c r="J9" s="854" t="s">
        <v>284</v>
      </c>
      <c r="K9" s="855"/>
      <c r="L9" s="855"/>
      <c r="M9" s="855"/>
      <c r="N9" s="855"/>
      <c r="O9" s="855"/>
      <c r="P9" s="855"/>
      <c r="Q9" s="856"/>
      <c r="R9" s="814" t="s">
        <v>146</v>
      </c>
    </row>
    <row r="10" spans="1:18" s="28" customFormat="1" ht="11.25" customHeight="1">
      <c r="A10" s="839"/>
      <c r="B10" s="848"/>
      <c r="C10" s="851"/>
      <c r="D10" s="868"/>
      <c r="E10" s="868"/>
      <c r="F10" s="868"/>
      <c r="G10" s="868"/>
      <c r="H10" s="868"/>
      <c r="I10" s="845"/>
      <c r="J10" s="842">
        <v>2012</v>
      </c>
      <c r="K10" s="843"/>
      <c r="L10" s="843"/>
      <c r="M10" s="829">
        <v>2013</v>
      </c>
      <c r="N10" s="829">
        <v>2014</v>
      </c>
      <c r="O10" s="829">
        <v>2015</v>
      </c>
      <c r="P10" s="829">
        <v>2016</v>
      </c>
      <c r="Q10" s="829">
        <v>2017</v>
      </c>
      <c r="R10" s="815"/>
    </row>
    <row r="11" spans="1:18" s="28" customFormat="1" ht="11.25" customHeight="1">
      <c r="A11" s="840"/>
      <c r="B11" s="849"/>
      <c r="C11" s="852"/>
      <c r="D11" s="812" t="s">
        <v>147</v>
      </c>
      <c r="E11" s="812" t="s">
        <v>148</v>
      </c>
      <c r="F11" s="812" t="s">
        <v>149</v>
      </c>
      <c r="G11" s="812" t="s">
        <v>150</v>
      </c>
      <c r="H11" s="812" t="s">
        <v>151</v>
      </c>
      <c r="I11" s="846"/>
      <c r="J11" s="842"/>
      <c r="K11" s="843"/>
      <c r="L11" s="843"/>
      <c r="M11" s="834"/>
      <c r="N11" s="834"/>
      <c r="O11" s="834"/>
      <c r="P11" s="834"/>
      <c r="Q11" s="805"/>
      <c r="R11" s="816"/>
    </row>
    <row r="12" spans="1:18" s="28" customFormat="1" ht="24" customHeight="1" thickBot="1">
      <c r="A12" s="841"/>
      <c r="B12" s="813"/>
      <c r="C12" s="853"/>
      <c r="D12" s="813"/>
      <c r="E12" s="813"/>
      <c r="F12" s="813"/>
      <c r="G12" s="813"/>
      <c r="H12" s="813"/>
      <c r="I12" s="813"/>
      <c r="J12" s="317" t="s">
        <v>281</v>
      </c>
      <c r="K12" s="317" t="s">
        <v>282</v>
      </c>
      <c r="L12" s="317" t="s">
        <v>283</v>
      </c>
      <c r="M12" s="835"/>
      <c r="N12" s="835"/>
      <c r="O12" s="835"/>
      <c r="P12" s="835"/>
      <c r="Q12" s="830"/>
      <c r="R12" s="817"/>
    </row>
    <row r="13" spans="1:19" s="411" customFormat="1" ht="26.25" customHeight="1">
      <c r="A13" s="437"/>
      <c r="B13" s="406" t="s">
        <v>152</v>
      </c>
      <c r="C13" s="407" t="s">
        <v>79</v>
      </c>
      <c r="D13" s="407" t="s">
        <v>79</v>
      </c>
      <c r="E13" s="407" t="s">
        <v>79</v>
      </c>
      <c r="F13" s="407"/>
      <c r="G13" s="407"/>
      <c r="H13" s="407"/>
      <c r="I13" s="408">
        <f aca="true" t="shared" si="0" ref="I13:P13">I14+I15</f>
        <v>185387777</v>
      </c>
      <c r="J13" s="409">
        <f t="shared" si="0"/>
        <v>56612154</v>
      </c>
      <c r="K13" s="409">
        <f>K14+K15</f>
        <v>22680</v>
      </c>
      <c r="L13" s="409">
        <f>L14+L15</f>
        <v>56634834</v>
      </c>
      <c r="M13" s="408">
        <f t="shared" si="0"/>
        <v>53680300</v>
      </c>
      <c r="N13" s="408">
        <f>N14+N15</f>
        <v>22805018</v>
      </c>
      <c r="O13" s="408">
        <f t="shared" si="0"/>
        <v>13002800</v>
      </c>
      <c r="P13" s="408">
        <f t="shared" si="0"/>
        <v>13236000</v>
      </c>
      <c r="Q13" s="408">
        <f>Q14+Q15</f>
        <v>11400000</v>
      </c>
      <c r="R13" s="438">
        <f>SUM(L13:Q13)</f>
        <v>170758952</v>
      </c>
      <c r="S13" s="410">
        <f>R14+R15</f>
        <v>170758952</v>
      </c>
    </row>
    <row r="14" spans="1:18" s="29" customFormat="1" ht="24.75" customHeight="1">
      <c r="A14" s="439"/>
      <c r="B14" s="129" t="s">
        <v>153</v>
      </c>
      <c r="C14" s="75" t="s">
        <v>79</v>
      </c>
      <c r="D14" s="75" t="s">
        <v>79</v>
      </c>
      <c r="E14" s="75" t="s">
        <v>79</v>
      </c>
      <c r="F14" s="75"/>
      <c r="G14" s="75"/>
      <c r="H14" s="75"/>
      <c r="I14" s="130">
        <f aca="true" t="shared" si="1" ref="I14:P14">I94</f>
        <v>63035624</v>
      </c>
      <c r="J14" s="318">
        <f t="shared" si="1"/>
        <v>15577598</v>
      </c>
      <c r="K14" s="318">
        <f>K94</f>
        <v>0</v>
      </c>
      <c r="L14" s="318">
        <f>L94</f>
        <v>15577598</v>
      </c>
      <c r="M14" s="130">
        <f t="shared" si="1"/>
        <v>16522944</v>
      </c>
      <c r="N14" s="130">
        <f t="shared" si="1"/>
        <v>17405518</v>
      </c>
      <c r="O14" s="130">
        <f t="shared" si="1"/>
        <v>9756800</v>
      </c>
      <c r="P14" s="130">
        <f t="shared" si="1"/>
        <v>4151000</v>
      </c>
      <c r="Q14" s="130">
        <f>Q94</f>
        <v>0</v>
      </c>
      <c r="R14" s="440">
        <f>SUM(L14:P14)</f>
        <v>63413860</v>
      </c>
    </row>
    <row r="15" spans="1:19" s="29" customFormat="1" ht="24.75" customHeight="1">
      <c r="A15" s="439"/>
      <c r="B15" s="129" t="s">
        <v>154</v>
      </c>
      <c r="C15" s="75" t="s">
        <v>79</v>
      </c>
      <c r="D15" s="75" t="s">
        <v>79</v>
      </c>
      <c r="E15" s="75" t="s">
        <v>79</v>
      </c>
      <c r="F15" s="75"/>
      <c r="G15" s="75"/>
      <c r="H15" s="75"/>
      <c r="I15" s="130">
        <f aca="true" t="shared" si="2" ref="I15:Q16">I16</f>
        <v>122352153</v>
      </c>
      <c r="J15" s="318">
        <f t="shared" si="2"/>
        <v>41034556</v>
      </c>
      <c r="K15" s="318">
        <f t="shared" si="2"/>
        <v>22680</v>
      </c>
      <c r="L15" s="318">
        <f t="shared" si="2"/>
        <v>41057236</v>
      </c>
      <c r="M15" s="130">
        <f t="shared" si="2"/>
        <v>37157356</v>
      </c>
      <c r="N15" s="130">
        <f t="shared" si="2"/>
        <v>5399500</v>
      </c>
      <c r="O15" s="130">
        <f t="shared" si="2"/>
        <v>3246000</v>
      </c>
      <c r="P15" s="130">
        <f t="shared" si="2"/>
        <v>9085000</v>
      </c>
      <c r="Q15" s="130">
        <f t="shared" si="2"/>
        <v>11400000</v>
      </c>
      <c r="R15" s="440">
        <f>SUM(L15:Q15)</f>
        <v>107345092</v>
      </c>
      <c r="S15" s="328">
        <f>J13+K13</f>
        <v>56634834</v>
      </c>
    </row>
    <row r="16" spans="1:19" s="417" customFormat="1" ht="39.75" customHeight="1">
      <c r="A16" s="441" t="s">
        <v>155</v>
      </c>
      <c r="B16" s="412" t="s">
        <v>401</v>
      </c>
      <c r="C16" s="413" t="s">
        <v>79</v>
      </c>
      <c r="D16" s="413" t="s">
        <v>79</v>
      </c>
      <c r="E16" s="413" t="s">
        <v>79</v>
      </c>
      <c r="F16" s="413"/>
      <c r="G16" s="413"/>
      <c r="H16" s="413"/>
      <c r="I16" s="414">
        <f>I17</f>
        <v>122352153</v>
      </c>
      <c r="J16" s="415">
        <f t="shared" si="2"/>
        <v>41034556</v>
      </c>
      <c r="K16" s="415">
        <f t="shared" si="2"/>
        <v>22680</v>
      </c>
      <c r="L16" s="415">
        <f t="shared" si="2"/>
        <v>41057236</v>
      </c>
      <c r="M16" s="414">
        <f t="shared" si="2"/>
        <v>37157356</v>
      </c>
      <c r="N16" s="414">
        <f>N17</f>
        <v>5399500</v>
      </c>
      <c r="O16" s="414">
        <f>O17</f>
        <v>3246000</v>
      </c>
      <c r="P16" s="414">
        <f>P17</f>
        <v>9085000</v>
      </c>
      <c r="Q16" s="414">
        <f>Q17</f>
        <v>11400000</v>
      </c>
      <c r="R16" s="442">
        <f>SUM(L16:Q16)</f>
        <v>107345092</v>
      </c>
      <c r="S16" s="416">
        <f>J17+K17</f>
        <v>41057236</v>
      </c>
    </row>
    <row r="17" spans="1:22" s="29" customFormat="1" ht="25.5" customHeight="1">
      <c r="A17" s="439"/>
      <c r="B17" s="129" t="s">
        <v>154</v>
      </c>
      <c r="C17" s="75" t="s">
        <v>79</v>
      </c>
      <c r="D17" s="75" t="s">
        <v>79</v>
      </c>
      <c r="E17" s="75" t="s">
        <v>79</v>
      </c>
      <c r="F17" s="75"/>
      <c r="G17" s="75"/>
      <c r="H17" s="75"/>
      <c r="I17" s="130">
        <f aca="true" t="shared" si="3" ref="I17:R17">I19+I55</f>
        <v>122352153</v>
      </c>
      <c r="J17" s="318">
        <f t="shared" si="3"/>
        <v>41034556</v>
      </c>
      <c r="K17" s="318">
        <f t="shared" si="3"/>
        <v>22680</v>
      </c>
      <c r="L17" s="318">
        <f t="shared" si="3"/>
        <v>41057236</v>
      </c>
      <c r="M17" s="130">
        <f t="shared" si="3"/>
        <v>37157356</v>
      </c>
      <c r="N17" s="130">
        <f t="shared" si="3"/>
        <v>5399500</v>
      </c>
      <c r="O17" s="130">
        <f t="shared" si="3"/>
        <v>3246000</v>
      </c>
      <c r="P17" s="130">
        <f t="shared" si="3"/>
        <v>9085000</v>
      </c>
      <c r="Q17" s="130">
        <f t="shared" si="3"/>
        <v>11400000</v>
      </c>
      <c r="R17" s="443">
        <f t="shared" si="3"/>
        <v>107345092</v>
      </c>
      <c r="S17" s="241">
        <f>S20+S36+S43+S56+S94</f>
        <v>170758952</v>
      </c>
      <c r="T17" s="241">
        <f>S17-R13</f>
        <v>0</v>
      </c>
      <c r="U17" s="31"/>
      <c r="V17" s="31"/>
    </row>
    <row r="18" spans="1:29" s="420" customFormat="1" ht="62.25" customHeight="1">
      <c r="A18" s="441" t="s">
        <v>156</v>
      </c>
      <c r="B18" s="412" t="s">
        <v>157</v>
      </c>
      <c r="C18" s="413" t="s">
        <v>79</v>
      </c>
      <c r="D18" s="413" t="s">
        <v>79</v>
      </c>
      <c r="E18" s="413" t="s">
        <v>79</v>
      </c>
      <c r="F18" s="413"/>
      <c r="G18" s="413"/>
      <c r="H18" s="413"/>
      <c r="I18" s="414">
        <f aca="true" t="shared" si="4" ref="I18:Q18">I19</f>
        <v>103173387</v>
      </c>
      <c r="J18" s="415">
        <f t="shared" si="4"/>
        <v>36081493</v>
      </c>
      <c r="K18" s="415">
        <f t="shared" si="4"/>
        <v>0</v>
      </c>
      <c r="L18" s="415">
        <f t="shared" si="4"/>
        <v>36081493</v>
      </c>
      <c r="M18" s="414">
        <f t="shared" si="4"/>
        <v>28921722</v>
      </c>
      <c r="N18" s="414">
        <f t="shared" si="4"/>
        <v>3011649</v>
      </c>
      <c r="O18" s="414">
        <f t="shared" si="4"/>
        <v>2300000</v>
      </c>
      <c r="P18" s="414">
        <f t="shared" si="4"/>
        <v>8745000</v>
      </c>
      <c r="Q18" s="414">
        <f t="shared" si="4"/>
        <v>11400000</v>
      </c>
      <c r="R18" s="442">
        <f>SUM(L18:Q18)</f>
        <v>90459864</v>
      </c>
      <c r="S18" s="418"/>
      <c r="T18" s="418"/>
      <c r="U18" s="418"/>
      <c r="V18" s="418"/>
      <c r="W18" s="419"/>
      <c r="X18" s="419"/>
      <c r="Y18" s="419"/>
      <c r="Z18" s="419"/>
      <c r="AA18" s="419"/>
      <c r="AB18" s="419"/>
      <c r="AC18" s="419"/>
    </row>
    <row r="19" spans="1:19" s="29" customFormat="1" ht="25.5" customHeight="1">
      <c r="A19" s="439"/>
      <c r="B19" s="129" t="s">
        <v>154</v>
      </c>
      <c r="C19" s="75" t="s">
        <v>79</v>
      </c>
      <c r="D19" s="75" t="s">
        <v>79</v>
      </c>
      <c r="E19" s="75" t="s">
        <v>79</v>
      </c>
      <c r="F19" s="75"/>
      <c r="G19" s="75"/>
      <c r="H19" s="75"/>
      <c r="I19" s="130">
        <f aca="true" t="shared" si="5" ref="I19:R19">I20+I36+I43</f>
        <v>103173387</v>
      </c>
      <c r="J19" s="318">
        <f t="shared" si="5"/>
        <v>36081493</v>
      </c>
      <c r="K19" s="318">
        <f t="shared" si="5"/>
        <v>0</v>
      </c>
      <c r="L19" s="318">
        <f t="shared" si="5"/>
        <v>36081493</v>
      </c>
      <c r="M19" s="130">
        <f t="shared" si="5"/>
        <v>28921722</v>
      </c>
      <c r="N19" s="130">
        <f t="shared" si="5"/>
        <v>3011649</v>
      </c>
      <c r="O19" s="130">
        <f t="shared" si="5"/>
        <v>2300000</v>
      </c>
      <c r="P19" s="130">
        <f t="shared" si="5"/>
        <v>8745000</v>
      </c>
      <c r="Q19" s="130">
        <f t="shared" si="5"/>
        <v>11400000</v>
      </c>
      <c r="R19" s="443">
        <f t="shared" si="5"/>
        <v>90459864</v>
      </c>
      <c r="S19" s="239">
        <f>SUM(L19:P19)</f>
        <v>79059864</v>
      </c>
    </row>
    <row r="20" spans="1:19" s="426" customFormat="1" ht="30.75" customHeight="1">
      <c r="A20" s="444" t="s">
        <v>158</v>
      </c>
      <c r="B20" s="421" t="s">
        <v>159</v>
      </c>
      <c r="C20" s="422" t="s">
        <v>160</v>
      </c>
      <c r="D20" s="423">
        <v>2004</v>
      </c>
      <c r="E20" s="423">
        <v>2016</v>
      </c>
      <c r="F20" s="832" t="s">
        <v>224</v>
      </c>
      <c r="G20" s="832"/>
      <c r="H20" s="832"/>
      <c r="I20" s="424">
        <f aca="true" t="shared" si="6" ref="I20:Q20">I21+I26+I30+I31+I32+I33+I34</f>
        <v>24739975</v>
      </c>
      <c r="J20" s="424">
        <f t="shared" si="6"/>
        <v>9586263</v>
      </c>
      <c r="K20" s="424">
        <f t="shared" si="6"/>
        <v>0</v>
      </c>
      <c r="L20" s="424">
        <f t="shared" si="6"/>
        <v>9586263</v>
      </c>
      <c r="M20" s="424">
        <f t="shared" si="6"/>
        <v>2750000</v>
      </c>
      <c r="N20" s="424">
        <f t="shared" si="6"/>
        <v>650000</v>
      </c>
      <c r="O20" s="424">
        <f t="shared" si="6"/>
        <v>1350000</v>
      </c>
      <c r="P20" s="424">
        <f t="shared" si="6"/>
        <v>1450000</v>
      </c>
      <c r="Q20" s="424">
        <f t="shared" si="6"/>
        <v>0</v>
      </c>
      <c r="R20" s="445">
        <f>R26+R21+SUM(R30:R33,R34)</f>
        <v>15786263</v>
      </c>
      <c r="S20" s="425">
        <f>SUM(L20:P20)</f>
        <v>15786263</v>
      </c>
    </row>
    <row r="21" spans="1:19" s="19" customFormat="1" ht="25.5" customHeight="1">
      <c r="A21" s="446" t="s">
        <v>161</v>
      </c>
      <c r="B21" s="820" t="s">
        <v>162</v>
      </c>
      <c r="C21" s="333" t="s">
        <v>163</v>
      </c>
      <c r="D21" s="405">
        <v>2004</v>
      </c>
      <c r="E21" s="405">
        <v>2016</v>
      </c>
      <c r="F21" s="822" t="s">
        <v>164</v>
      </c>
      <c r="G21" s="822"/>
      <c r="H21" s="822"/>
      <c r="I21" s="132">
        <f>SUM(I22:I25)</f>
        <v>17536225</v>
      </c>
      <c r="J21" s="318">
        <f>SUM(J22:J25)</f>
        <v>6578302</v>
      </c>
      <c r="K21" s="318">
        <f>SUM(K22:K25)</f>
        <v>0</v>
      </c>
      <c r="L21" s="318">
        <f>J21+K21</f>
        <v>6578302</v>
      </c>
      <c r="M21" s="132">
        <f>SUM(M22:M25)</f>
        <v>2035000</v>
      </c>
      <c r="N21" s="132">
        <f>SUM(N22:N25)</f>
        <v>550000</v>
      </c>
      <c r="O21" s="132">
        <f>SUM(O22:O25)</f>
        <v>1250000</v>
      </c>
      <c r="P21" s="132">
        <f>SUM(P22:P25)</f>
        <v>1450000</v>
      </c>
      <c r="Q21" s="560"/>
      <c r="R21" s="440">
        <f>SUM(L21:P21)</f>
        <v>11863302</v>
      </c>
      <c r="S21" s="23">
        <f>SUM(R22:R25)</f>
        <v>11863302</v>
      </c>
    </row>
    <row r="22" spans="1:18" s="19" customFormat="1" ht="15" customHeight="1">
      <c r="A22" s="447"/>
      <c r="B22" s="821"/>
      <c r="C22" s="398"/>
      <c r="D22" s="398"/>
      <c r="E22" s="398"/>
      <c r="F22" s="825" t="s">
        <v>165</v>
      </c>
      <c r="G22" s="825" t="s">
        <v>166</v>
      </c>
      <c r="H22" s="825">
        <v>6050</v>
      </c>
      <c r="I22" s="792">
        <f>R22+1903936</f>
        <v>9905698</v>
      </c>
      <c r="J22" s="875">
        <v>2716762</v>
      </c>
      <c r="K22" s="319"/>
      <c r="L22" s="876">
        <f>J22+K22+K23</f>
        <v>2716762</v>
      </c>
      <c r="M22" s="836">
        <v>2035000</v>
      </c>
      <c r="N22" s="836">
        <v>550000</v>
      </c>
      <c r="O22" s="836">
        <v>1250000</v>
      </c>
      <c r="P22" s="836">
        <v>1450000</v>
      </c>
      <c r="Q22" s="562"/>
      <c r="R22" s="873">
        <f>SUM(L22:P22)</f>
        <v>8001762</v>
      </c>
    </row>
    <row r="23" spans="1:18" s="19" customFormat="1" ht="15" customHeight="1">
      <c r="A23" s="447"/>
      <c r="B23" s="516"/>
      <c r="C23" s="515"/>
      <c r="D23" s="515"/>
      <c r="E23" s="515"/>
      <c r="F23" s="833"/>
      <c r="G23" s="833"/>
      <c r="H23" s="833"/>
      <c r="I23" s="833"/>
      <c r="J23" s="833"/>
      <c r="K23" s="331"/>
      <c r="L23" s="837"/>
      <c r="M23" s="837"/>
      <c r="N23" s="837"/>
      <c r="O23" s="837"/>
      <c r="P23" s="837"/>
      <c r="Q23" s="563"/>
      <c r="R23" s="874"/>
    </row>
    <row r="24" spans="1:18" s="19" customFormat="1" ht="25.5" customHeight="1">
      <c r="A24" s="447"/>
      <c r="B24" s="404"/>
      <c r="C24" s="398"/>
      <c r="D24" s="398"/>
      <c r="E24" s="398"/>
      <c r="F24" s="135"/>
      <c r="G24" s="135"/>
      <c r="H24" s="135">
        <v>6058</v>
      </c>
      <c r="I24" s="136">
        <f>R24</f>
        <v>2457999</v>
      </c>
      <c r="J24" s="320">
        <v>2457999</v>
      </c>
      <c r="K24" s="320"/>
      <c r="L24" s="325">
        <f aca="true" t="shared" si="7" ref="L24:L38">J24+K24</f>
        <v>2457999</v>
      </c>
      <c r="M24" s="137"/>
      <c r="N24" s="138"/>
      <c r="O24" s="138"/>
      <c r="P24" s="138"/>
      <c r="Q24" s="564"/>
      <c r="R24" s="448">
        <f>SUM(L24:P24)</f>
        <v>2457999</v>
      </c>
    </row>
    <row r="25" spans="1:18" s="19" customFormat="1" ht="25.5" customHeight="1">
      <c r="A25" s="449"/>
      <c r="B25" s="248"/>
      <c r="C25" s="399"/>
      <c r="D25" s="399"/>
      <c r="E25" s="399"/>
      <c r="F25" s="139"/>
      <c r="G25" s="139"/>
      <c r="H25" s="139">
        <v>6059</v>
      </c>
      <c r="I25" s="140">
        <f>R25+3768987</f>
        <v>5172528</v>
      </c>
      <c r="J25" s="327">
        <v>1403541</v>
      </c>
      <c r="K25" s="321"/>
      <c r="L25" s="326">
        <f>J25+K25</f>
        <v>1403541</v>
      </c>
      <c r="M25" s="141"/>
      <c r="N25" s="141"/>
      <c r="O25" s="141"/>
      <c r="P25" s="142"/>
      <c r="Q25" s="565"/>
      <c r="R25" s="448">
        <f>SUM(L25:P25)</f>
        <v>1403541</v>
      </c>
    </row>
    <row r="26" spans="1:19" s="19" customFormat="1" ht="25.5" customHeight="1">
      <c r="A26" s="446" t="s">
        <v>167</v>
      </c>
      <c r="B26" s="820" t="s">
        <v>168</v>
      </c>
      <c r="C26" s="333" t="s">
        <v>163</v>
      </c>
      <c r="D26" s="333">
        <v>2004</v>
      </c>
      <c r="E26" s="333">
        <v>2013</v>
      </c>
      <c r="F26" s="822" t="s">
        <v>164</v>
      </c>
      <c r="G26" s="822"/>
      <c r="H26" s="822"/>
      <c r="I26" s="132">
        <f>SUM(I27:I29)</f>
        <v>4183781</v>
      </c>
      <c r="J26" s="318">
        <f>SUM(J27:J29)</f>
        <v>211081</v>
      </c>
      <c r="K26" s="318">
        <f>SUM(K27:K29)</f>
        <v>0</v>
      </c>
      <c r="L26" s="318">
        <f>J26+K26</f>
        <v>211081</v>
      </c>
      <c r="M26" s="132">
        <f>SUM(M27:M29)</f>
        <v>700000</v>
      </c>
      <c r="N26" s="132">
        <f>SUM(N27:N29)</f>
        <v>0</v>
      </c>
      <c r="O26" s="405">
        <v>0</v>
      </c>
      <c r="P26" s="405">
        <v>0</v>
      </c>
      <c r="Q26" s="566"/>
      <c r="R26" s="440">
        <f>SUM(L26:O26)</f>
        <v>911081</v>
      </c>
      <c r="S26" s="23">
        <f>R27+R28+R29</f>
        <v>911081</v>
      </c>
    </row>
    <row r="27" spans="1:19" s="19" customFormat="1" ht="23.25" customHeight="1">
      <c r="A27" s="447"/>
      <c r="B27" s="821"/>
      <c r="C27" s="398"/>
      <c r="D27" s="398"/>
      <c r="E27" s="398"/>
      <c r="F27" s="553" t="s">
        <v>165</v>
      </c>
      <c r="G27" s="553" t="s">
        <v>166</v>
      </c>
      <c r="H27" s="553">
        <v>6050</v>
      </c>
      <c r="I27" s="554">
        <f>L27+M27+3272700+N27</f>
        <v>4183781</v>
      </c>
      <c r="J27" s="555">
        <v>211081</v>
      </c>
      <c r="K27" s="555"/>
      <c r="L27" s="556">
        <f t="shared" si="7"/>
        <v>211081</v>
      </c>
      <c r="M27" s="550">
        <v>700000</v>
      </c>
      <c r="N27" s="550"/>
      <c r="O27" s="551"/>
      <c r="P27" s="551"/>
      <c r="Q27" s="570"/>
      <c r="R27" s="552">
        <f>SUM(L27:O27)</f>
        <v>911081</v>
      </c>
      <c r="S27" s="23">
        <f>J26+K26</f>
        <v>211081</v>
      </c>
    </row>
    <row r="28" spans="1:18" s="19" customFormat="1" ht="4.5" customHeight="1">
      <c r="A28" s="447"/>
      <c r="B28" s="249"/>
      <c r="C28" s="398"/>
      <c r="D28" s="398"/>
      <c r="E28" s="398"/>
      <c r="F28" s="558"/>
      <c r="G28" s="558"/>
      <c r="H28" s="558"/>
      <c r="I28" s="603"/>
      <c r="J28" s="604"/>
      <c r="K28" s="604"/>
      <c r="L28" s="605"/>
      <c r="M28" s="606"/>
      <c r="N28" s="607"/>
      <c r="O28" s="607"/>
      <c r="P28" s="607"/>
      <c r="Q28" s="608"/>
      <c r="R28" s="602"/>
    </row>
    <row r="29" spans="1:18" s="19" customFormat="1" ht="3.75" customHeight="1">
      <c r="A29" s="449"/>
      <c r="B29" s="248"/>
      <c r="C29" s="242"/>
      <c r="D29" s="242"/>
      <c r="E29" s="399"/>
      <c r="F29" s="559"/>
      <c r="G29" s="559"/>
      <c r="H29" s="559"/>
      <c r="I29" s="245"/>
      <c r="J29" s="322"/>
      <c r="K29" s="322"/>
      <c r="L29" s="609"/>
      <c r="M29" s="246"/>
      <c r="N29" s="247"/>
      <c r="O29" s="247"/>
      <c r="P29" s="247"/>
      <c r="Q29" s="567"/>
      <c r="R29" s="451"/>
    </row>
    <row r="30" spans="1:18" s="19" customFormat="1" ht="51.75" customHeight="1">
      <c r="A30" s="449" t="s">
        <v>231</v>
      </c>
      <c r="B30" s="250" t="s">
        <v>236</v>
      </c>
      <c r="C30" s="333" t="s">
        <v>163</v>
      </c>
      <c r="D30" s="399">
        <v>2011</v>
      </c>
      <c r="E30" s="399">
        <v>2012</v>
      </c>
      <c r="F30" s="254" t="s">
        <v>165</v>
      </c>
      <c r="G30" s="254" t="s">
        <v>166</v>
      </c>
      <c r="H30" s="399">
        <v>6050</v>
      </c>
      <c r="I30" s="245">
        <f>L30+3641</f>
        <v>129101</v>
      </c>
      <c r="J30" s="322">
        <v>125460</v>
      </c>
      <c r="K30" s="322"/>
      <c r="L30" s="318">
        <f t="shared" si="7"/>
        <v>125460</v>
      </c>
      <c r="M30" s="246"/>
      <c r="N30" s="247"/>
      <c r="O30" s="247"/>
      <c r="P30" s="247"/>
      <c r="Q30" s="567"/>
      <c r="R30" s="451">
        <f>SUM(L30:P30)</f>
        <v>125460</v>
      </c>
    </row>
    <row r="31" spans="1:18" s="19" customFormat="1" ht="50.25" customHeight="1">
      <c r="A31" s="449" t="s">
        <v>232</v>
      </c>
      <c r="B31" s="250" t="s">
        <v>237</v>
      </c>
      <c r="C31" s="333" t="s">
        <v>163</v>
      </c>
      <c r="D31" s="399">
        <v>2011</v>
      </c>
      <c r="E31" s="399">
        <v>2012</v>
      </c>
      <c r="F31" s="254" t="s">
        <v>165</v>
      </c>
      <c r="G31" s="254" t="s">
        <v>166</v>
      </c>
      <c r="H31" s="399">
        <v>6050</v>
      </c>
      <c r="I31" s="245">
        <f>L31+3604</f>
        <v>247937</v>
      </c>
      <c r="J31" s="322">
        <v>244333</v>
      </c>
      <c r="K31" s="322"/>
      <c r="L31" s="318">
        <f t="shared" si="7"/>
        <v>244333</v>
      </c>
      <c r="M31" s="246"/>
      <c r="N31" s="247"/>
      <c r="O31" s="247"/>
      <c r="P31" s="247"/>
      <c r="Q31" s="567"/>
      <c r="R31" s="450">
        <f>SUM(L31:P31)</f>
        <v>244333</v>
      </c>
    </row>
    <row r="32" spans="1:18" s="19" customFormat="1" ht="33.75" customHeight="1">
      <c r="A32" s="449" t="s">
        <v>448</v>
      </c>
      <c r="B32" s="250" t="s">
        <v>189</v>
      </c>
      <c r="C32" s="333" t="s">
        <v>256</v>
      </c>
      <c r="D32" s="399">
        <v>2011</v>
      </c>
      <c r="E32" s="399">
        <v>2012</v>
      </c>
      <c r="F32" s="399">
        <v>900</v>
      </c>
      <c r="G32" s="399">
        <v>90001</v>
      </c>
      <c r="H32" s="399">
        <v>6050</v>
      </c>
      <c r="I32" s="245">
        <f>L32+844</f>
        <v>2344906</v>
      </c>
      <c r="J32" s="322">
        <v>2344062</v>
      </c>
      <c r="K32" s="322"/>
      <c r="L32" s="318">
        <f t="shared" si="7"/>
        <v>2344062</v>
      </c>
      <c r="M32" s="246"/>
      <c r="N32" s="247"/>
      <c r="O32" s="247"/>
      <c r="P32" s="247"/>
      <c r="Q32" s="567"/>
      <c r="R32" s="450">
        <f>SUM(L32:P32)</f>
        <v>2344062</v>
      </c>
    </row>
    <row r="33" spans="1:18" s="19" customFormat="1" ht="42.75" customHeight="1">
      <c r="A33" s="449" t="s">
        <v>235</v>
      </c>
      <c r="B33" s="453" t="s">
        <v>334</v>
      </c>
      <c r="C33" s="454" t="s">
        <v>256</v>
      </c>
      <c r="D33" s="455">
        <v>2012</v>
      </c>
      <c r="E33" s="455">
        <v>2015</v>
      </c>
      <c r="F33" s="455">
        <v>900</v>
      </c>
      <c r="G33" s="455">
        <v>90001</v>
      </c>
      <c r="H33" s="455">
        <v>6050</v>
      </c>
      <c r="I33" s="456">
        <f>R33</f>
        <v>147515</v>
      </c>
      <c r="J33" s="457">
        <v>37515</v>
      </c>
      <c r="K33" s="457"/>
      <c r="L33" s="458">
        <f t="shared" si="7"/>
        <v>37515</v>
      </c>
      <c r="M33" s="459">
        <v>10000</v>
      </c>
      <c r="N33" s="459">
        <v>50000</v>
      </c>
      <c r="O33" s="459">
        <v>50000</v>
      </c>
      <c r="P33" s="459"/>
      <c r="Q33" s="568"/>
      <c r="R33" s="461">
        <f>SUM(L33:P33)</f>
        <v>147515</v>
      </c>
    </row>
    <row r="34" spans="1:18" s="19" customFormat="1" ht="47.25" customHeight="1">
      <c r="A34" s="449" t="s">
        <v>245</v>
      </c>
      <c r="B34" s="251" t="s">
        <v>335</v>
      </c>
      <c r="C34" s="553" t="s">
        <v>256</v>
      </c>
      <c r="D34" s="558">
        <v>2012</v>
      </c>
      <c r="E34" s="558">
        <v>2015</v>
      </c>
      <c r="F34" s="558">
        <v>900</v>
      </c>
      <c r="G34" s="558">
        <v>90001</v>
      </c>
      <c r="H34" s="558">
        <v>6050</v>
      </c>
      <c r="I34" s="603">
        <f>R34</f>
        <v>150510</v>
      </c>
      <c r="J34" s="604">
        <v>45510</v>
      </c>
      <c r="K34" s="604"/>
      <c r="L34" s="556">
        <f t="shared" si="7"/>
        <v>45510</v>
      </c>
      <c r="M34" s="606">
        <v>5000</v>
      </c>
      <c r="N34" s="606">
        <v>50000</v>
      </c>
      <c r="O34" s="606">
        <v>50000</v>
      </c>
      <c r="P34" s="606"/>
      <c r="Q34" s="610"/>
      <c r="R34" s="469">
        <f>SUM(L34:P34)</f>
        <v>150510</v>
      </c>
    </row>
    <row r="35" spans="1:18" s="19" customFormat="1" ht="21.75" customHeight="1">
      <c r="A35" s="611"/>
      <c r="B35" s="612"/>
      <c r="C35" s="613"/>
      <c r="D35" s="613"/>
      <c r="E35" s="613"/>
      <c r="F35" s="613"/>
      <c r="G35" s="613"/>
      <c r="H35" s="613"/>
      <c r="I35" s="614"/>
      <c r="J35" s="622"/>
      <c r="K35" s="622"/>
      <c r="L35" s="623"/>
      <c r="M35" s="623"/>
      <c r="N35" s="615"/>
      <c r="O35" s="615"/>
      <c r="P35" s="615"/>
      <c r="Q35" s="615"/>
      <c r="R35" s="487"/>
    </row>
    <row r="36" spans="1:20" s="417" customFormat="1" ht="30.75" customHeight="1">
      <c r="A36" s="616" t="s">
        <v>169</v>
      </c>
      <c r="B36" s="617" t="s">
        <v>170</v>
      </c>
      <c r="C36" s="618" t="s">
        <v>160</v>
      </c>
      <c r="D36" s="618">
        <v>2010</v>
      </c>
      <c r="E36" s="618">
        <v>2015</v>
      </c>
      <c r="F36" s="819" t="s">
        <v>224</v>
      </c>
      <c r="G36" s="819"/>
      <c r="H36" s="819"/>
      <c r="I36" s="619">
        <f aca="true" t="shared" si="8" ref="I36:P36">SUM(I37:I38,I39:I42)</f>
        <v>4390227</v>
      </c>
      <c r="J36" s="619">
        <f t="shared" si="8"/>
        <v>128130</v>
      </c>
      <c r="K36" s="619">
        <f t="shared" si="8"/>
        <v>0</v>
      </c>
      <c r="L36" s="619">
        <f t="shared" si="8"/>
        <v>128130</v>
      </c>
      <c r="M36" s="619">
        <f t="shared" si="8"/>
        <v>1064722</v>
      </c>
      <c r="N36" s="619">
        <f t="shared" si="8"/>
        <v>2161649</v>
      </c>
      <c r="O36" s="619">
        <f t="shared" si="8"/>
        <v>950000</v>
      </c>
      <c r="P36" s="619">
        <f t="shared" si="8"/>
        <v>0</v>
      </c>
      <c r="Q36" s="620"/>
      <c r="R36" s="621">
        <f>SUM(R37:R38,R39:R42)</f>
        <v>4304501</v>
      </c>
      <c r="S36" s="416">
        <f>SUM(L36:P36)</f>
        <v>4304501</v>
      </c>
      <c r="T36" s="416">
        <f>S36-R36</f>
        <v>0</v>
      </c>
    </row>
    <row r="37" spans="1:20" s="30" customFormat="1" ht="5.25" customHeight="1">
      <c r="A37" s="446"/>
      <c r="B37" s="627"/>
      <c r="C37" s="553"/>
      <c r="D37" s="553"/>
      <c r="E37" s="553"/>
      <c r="F37" s="553"/>
      <c r="G37" s="553"/>
      <c r="H37" s="553"/>
      <c r="I37" s="554"/>
      <c r="J37" s="555"/>
      <c r="K37" s="555"/>
      <c r="L37" s="556"/>
      <c r="M37" s="554"/>
      <c r="N37" s="550"/>
      <c r="O37" s="550"/>
      <c r="P37" s="551"/>
      <c r="Q37" s="570"/>
      <c r="R37" s="552">
        <f aca="true" t="shared" si="9" ref="R37:R42">SUM(L37:P37)</f>
        <v>0</v>
      </c>
      <c r="S37" s="32"/>
      <c r="T37" s="32"/>
    </row>
    <row r="38" spans="1:19" s="30" customFormat="1" ht="33" customHeight="1">
      <c r="A38" s="452" t="s">
        <v>171</v>
      </c>
      <c r="B38" s="628" t="s">
        <v>238</v>
      </c>
      <c r="C38" s="455" t="s">
        <v>173</v>
      </c>
      <c r="D38" s="455">
        <v>2011</v>
      </c>
      <c r="E38" s="455">
        <v>2013</v>
      </c>
      <c r="F38" s="455">
        <v>900</v>
      </c>
      <c r="G38" s="455">
        <v>90015</v>
      </c>
      <c r="H38" s="455">
        <v>6050</v>
      </c>
      <c r="I38" s="456">
        <f>L38+9645+M38</f>
        <v>138645</v>
      </c>
      <c r="J38" s="457">
        <v>2000</v>
      </c>
      <c r="K38" s="457"/>
      <c r="L38" s="629">
        <f t="shared" si="7"/>
        <v>2000</v>
      </c>
      <c r="M38" s="459">
        <v>127000</v>
      </c>
      <c r="N38" s="460">
        <v>0</v>
      </c>
      <c r="O38" s="460">
        <v>0</v>
      </c>
      <c r="P38" s="460">
        <v>0</v>
      </c>
      <c r="Q38" s="630"/>
      <c r="R38" s="631">
        <f t="shared" si="9"/>
        <v>129000</v>
      </c>
      <c r="S38" s="32"/>
    </row>
    <row r="39" spans="1:18" s="19" customFormat="1" ht="29.25" customHeight="1">
      <c r="A39" s="447" t="s">
        <v>174</v>
      </c>
      <c r="B39" s="624" t="s">
        <v>172</v>
      </c>
      <c r="C39" s="559" t="s">
        <v>173</v>
      </c>
      <c r="D39" s="399">
        <v>2010</v>
      </c>
      <c r="E39" s="399">
        <v>2014</v>
      </c>
      <c r="F39" s="559">
        <v>921</v>
      </c>
      <c r="G39" s="559">
        <v>92109</v>
      </c>
      <c r="H39" s="559">
        <v>6050</v>
      </c>
      <c r="I39" s="245">
        <f>L39+M39+N39+4880</f>
        <v>294096</v>
      </c>
      <c r="J39" s="331">
        <v>85000</v>
      </c>
      <c r="K39" s="331"/>
      <c r="L39" s="322">
        <f aca="true" t="shared" si="10" ref="L39:L45">J39+K39</f>
        <v>85000</v>
      </c>
      <c r="M39" s="625">
        <v>100000</v>
      </c>
      <c r="N39" s="625">
        <v>104216</v>
      </c>
      <c r="O39" s="626"/>
      <c r="P39" s="626"/>
      <c r="Q39" s="608"/>
      <c r="R39" s="451">
        <f t="shared" si="9"/>
        <v>289216</v>
      </c>
    </row>
    <row r="40" spans="1:18" s="19" customFormat="1" ht="31.5" customHeight="1">
      <c r="A40" s="462" t="s">
        <v>175</v>
      </c>
      <c r="B40" s="44" t="s">
        <v>342</v>
      </c>
      <c r="C40" s="333" t="s">
        <v>259</v>
      </c>
      <c r="D40" s="333">
        <v>2010</v>
      </c>
      <c r="E40" s="333">
        <v>2012</v>
      </c>
      <c r="F40" s="333">
        <v>921</v>
      </c>
      <c r="G40" s="333">
        <v>92109</v>
      </c>
      <c r="H40" s="333">
        <v>6050</v>
      </c>
      <c r="I40" s="43">
        <f>L40+M40+N40+6541</f>
        <v>42826</v>
      </c>
      <c r="J40" s="319">
        <v>36285</v>
      </c>
      <c r="K40" s="319"/>
      <c r="L40" s="323">
        <f t="shared" si="10"/>
        <v>36285</v>
      </c>
      <c r="M40" s="133"/>
      <c r="N40" s="133"/>
      <c r="O40" s="134"/>
      <c r="P40" s="134"/>
      <c r="Q40" s="570"/>
      <c r="R40" s="440">
        <f t="shared" si="9"/>
        <v>36285</v>
      </c>
    </row>
    <row r="41" spans="1:18" s="19" customFormat="1" ht="33.75" customHeight="1">
      <c r="A41" s="447" t="s">
        <v>449</v>
      </c>
      <c r="B41" s="44" t="s">
        <v>176</v>
      </c>
      <c r="C41" s="333" t="s">
        <v>173</v>
      </c>
      <c r="D41" s="333">
        <v>2010</v>
      </c>
      <c r="E41" s="333">
        <v>2015</v>
      </c>
      <c r="F41" s="333">
        <v>921</v>
      </c>
      <c r="G41" s="333">
        <v>92109</v>
      </c>
      <c r="H41" s="333">
        <v>6050</v>
      </c>
      <c r="I41" s="43">
        <f>L41+M41+N41+64660+O41</f>
        <v>314660</v>
      </c>
      <c r="J41" s="319">
        <v>0</v>
      </c>
      <c r="K41" s="319"/>
      <c r="L41" s="323">
        <f>J41+K41</f>
        <v>0</v>
      </c>
      <c r="M41" s="133">
        <v>50000</v>
      </c>
      <c r="N41" s="133">
        <v>100000</v>
      </c>
      <c r="O41" s="133">
        <v>100000</v>
      </c>
      <c r="P41" s="134"/>
      <c r="Q41" s="570"/>
      <c r="R41" s="440">
        <f t="shared" si="9"/>
        <v>250000</v>
      </c>
    </row>
    <row r="42" spans="1:18" s="19" customFormat="1" ht="25.5" customHeight="1">
      <c r="A42" s="462" t="s">
        <v>419</v>
      </c>
      <c r="B42" s="44" t="s">
        <v>446</v>
      </c>
      <c r="C42" s="333" t="s">
        <v>336</v>
      </c>
      <c r="D42" s="333">
        <v>2012</v>
      </c>
      <c r="E42" s="333">
        <v>2015</v>
      </c>
      <c r="F42" s="333">
        <v>921</v>
      </c>
      <c r="G42" s="333">
        <v>92109</v>
      </c>
      <c r="H42" s="333">
        <v>6050</v>
      </c>
      <c r="I42" s="43">
        <f>L42+M42+N42+O42</f>
        <v>3600000</v>
      </c>
      <c r="J42" s="319">
        <v>4845</v>
      </c>
      <c r="K42" s="319"/>
      <c r="L42" s="323">
        <f t="shared" si="10"/>
        <v>4845</v>
      </c>
      <c r="M42" s="133">
        <v>787722</v>
      </c>
      <c r="N42" s="133">
        <v>1957433</v>
      </c>
      <c r="O42" s="133">
        <v>850000</v>
      </c>
      <c r="P42" s="134"/>
      <c r="Q42" s="570"/>
      <c r="R42" s="440">
        <f t="shared" si="9"/>
        <v>3600000</v>
      </c>
    </row>
    <row r="43" spans="1:19" s="417" customFormat="1" ht="27" customHeight="1">
      <c r="A43" s="463" t="s">
        <v>177</v>
      </c>
      <c r="B43" s="257" t="s">
        <v>178</v>
      </c>
      <c r="C43" s="423" t="s">
        <v>160</v>
      </c>
      <c r="D43" s="423">
        <v>2006</v>
      </c>
      <c r="E43" s="423">
        <v>2017</v>
      </c>
      <c r="F43" s="423"/>
      <c r="G43" s="423"/>
      <c r="H43" s="423"/>
      <c r="I43" s="424">
        <f>I44+I52+I53+I51</f>
        <v>74043185</v>
      </c>
      <c r="J43" s="427">
        <f>J44+J52+J53+J51</f>
        <v>26367100</v>
      </c>
      <c r="K43" s="427">
        <f>K44+K52+K53+K51</f>
        <v>0</v>
      </c>
      <c r="L43" s="427">
        <f>J43+K43</f>
        <v>26367100</v>
      </c>
      <c r="M43" s="427">
        <f>M44+M52+M53+M51</f>
        <v>25107000</v>
      </c>
      <c r="N43" s="427">
        <f>N44+N52+N53</f>
        <v>200000</v>
      </c>
      <c r="O43" s="427">
        <f>O44+O52+O53</f>
        <v>0</v>
      </c>
      <c r="P43" s="427">
        <f>P44+P52+P53</f>
        <v>7295000</v>
      </c>
      <c r="Q43" s="427">
        <f>Q44+Q52+Q53</f>
        <v>11400000</v>
      </c>
      <c r="R43" s="464">
        <f>R44+R52+R53+R51</f>
        <v>70369100</v>
      </c>
      <c r="S43" s="416">
        <f>SUM(L43:Q43)</f>
        <v>70369100</v>
      </c>
    </row>
    <row r="44" spans="1:19" s="19" customFormat="1" ht="48" customHeight="1" thickBot="1">
      <c r="A44" s="446" t="s">
        <v>179</v>
      </c>
      <c r="B44" s="143" t="s">
        <v>220</v>
      </c>
      <c r="C44" s="255" t="s">
        <v>163</v>
      </c>
      <c r="D44" s="403">
        <v>2006</v>
      </c>
      <c r="E44" s="403">
        <v>2017</v>
      </c>
      <c r="F44" s="831" t="s">
        <v>164</v>
      </c>
      <c r="G44" s="831"/>
      <c r="H44" s="831"/>
      <c r="I44" s="256">
        <f>SUM(I45:I50)</f>
        <v>72881024</v>
      </c>
      <c r="J44" s="329">
        <f aca="true" t="shared" si="11" ref="J44:P44">SUM(J45:J50)</f>
        <v>25995000</v>
      </c>
      <c r="K44" s="329">
        <f t="shared" si="11"/>
        <v>0</v>
      </c>
      <c r="L44" s="329">
        <f t="shared" si="10"/>
        <v>25995000</v>
      </c>
      <c r="M44" s="256">
        <f>SUM(M45:M50)</f>
        <v>24580000</v>
      </c>
      <c r="N44" s="256">
        <f t="shared" si="11"/>
        <v>0</v>
      </c>
      <c r="O44" s="256">
        <f t="shared" si="11"/>
        <v>0</v>
      </c>
      <c r="P44" s="256">
        <f t="shared" si="11"/>
        <v>7295000</v>
      </c>
      <c r="Q44" s="256">
        <f>SUM(Q45:Q50)</f>
        <v>11400000</v>
      </c>
      <c r="R44" s="465">
        <f>SUM(R45:R50)</f>
        <v>69270000</v>
      </c>
      <c r="S44" s="23">
        <f>R44+R52+R53+R51</f>
        <v>70369100</v>
      </c>
    </row>
    <row r="45" spans="1:18" s="19" customFormat="1" ht="25.5" customHeight="1">
      <c r="A45" s="466"/>
      <c r="B45" s="237" t="s">
        <v>180</v>
      </c>
      <c r="C45" s="144"/>
      <c r="D45" s="144"/>
      <c r="E45" s="144"/>
      <c r="F45" s="144">
        <v>801</v>
      </c>
      <c r="G45" s="144">
        <v>80101</v>
      </c>
      <c r="H45" s="144">
        <v>6050</v>
      </c>
      <c r="I45" s="145">
        <f>L45+M45+3611024</f>
        <v>54186024</v>
      </c>
      <c r="J45" s="330">
        <v>25995000</v>
      </c>
      <c r="K45" s="330"/>
      <c r="L45" s="330">
        <f t="shared" si="10"/>
        <v>25995000</v>
      </c>
      <c r="M45" s="146">
        <v>24580000</v>
      </c>
      <c r="N45" s="147"/>
      <c r="O45" s="147"/>
      <c r="P45" s="147"/>
      <c r="Q45" s="571"/>
      <c r="R45" s="467">
        <f>SUM(L45:P45)</f>
        <v>50575000</v>
      </c>
    </row>
    <row r="46" spans="1:18" s="19" customFormat="1" ht="17.25" customHeight="1" thickBot="1">
      <c r="A46" s="447"/>
      <c r="B46" s="238" t="s">
        <v>398</v>
      </c>
      <c r="C46" s="149"/>
      <c r="D46" s="149"/>
      <c r="E46" s="149"/>
      <c r="F46" s="149"/>
      <c r="G46" s="149"/>
      <c r="H46" s="149"/>
      <c r="I46" s="150"/>
      <c r="J46" s="332"/>
      <c r="K46" s="332"/>
      <c r="L46" s="332"/>
      <c r="M46" s="517"/>
      <c r="N46" s="151"/>
      <c r="O46" s="151"/>
      <c r="P46" s="151"/>
      <c r="Q46" s="565"/>
      <c r="R46" s="469">
        <f>SUM(L46:P46)</f>
        <v>0</v>
      </c>
    </row>
    <row r="47" spans="1:18" s="19" customFormat="1" ht="19.5" customHeight="1">
      <c r="A47" s="518"/>
      <c r="B47" s="519" t="s">
        <v>181</v>
      </c>
      <c r="C47" s="588"/>
      <c r="D47" s="588"/>
      <c r="E47" s="588"/>
      <c r="F47" s="588"/>
      <c r="G47" s="588"/>
      <c r="H47" s="588">
        <v>6050</v>
      </c>
      <c r="I47" s="589">
        <f>SUM(M47:Q47)</f>
        <v>8600000</v>
      </c>
      <c r="J47" s="590"/>
      <c r="K47" s="590"/>
      <c r="L47" s="590"/>
      <c r="M47" s="589"/>
      <c r="N47" s="588"/>
      <c r="O47" s="589"/>
      <c r="P47" s="589">
        <v>2900000</v>
      </c>
      <c r="Q47" s="591">
        <v>5700000</v>
      </c>
      <c r="R47" s="592">
        <f>SUM(L47:Q47)</f>
        <v>8600000</v>
      </c>
    </row>
    <row r="48" spans="1:18" s="19" customFormat="1" ht="19.5" customHeight="1" thickBot="1">
      <c r="A48" s="468"/>
      <c r="B48" s="148" t="s">
        <v>443</v>
      </c>
      <c r="C48" s="593"/>
      <c r="D48" s="593"/>
      <c r="E48" s="593"/>
      <c r="F48" s="593"/>
      <c r="G48" s="593"/>
      <c r="H48" s="593"/>
      <c r="I48" s="594"/>
      <c r="J48" s="595"/>
      <c r="K48" s="595"/>
      <c r="L48" s="595"/>
      <c r="M48" s="594"/>
      <c r="N48" s="594"/>
      <c r="O48" s="594"/>
      <c r="P48" s="594"/>
      <c r="Q48" s="596"/>
      <c r="R48" s="597"/>
    </row>
    <row r="49" spans="1:18" s="19" customFormat="1" ht="19.5" customHeight="1">
      <c r="A49" s="466"/>
      <c r="B49" s="309" t="s">
        <v>182</v>
      </c>
      <c r="C49" s="598"/>
      <c r="D49" s="598"/>
      <c r="E49" s="598"/>
      <c r="F49" s="598"/>
      <c r="G49" s="598"/>
      <c r="H49" s="598">
        <v>6050</v>
      </c>
      <c r="I49" s="599">
        <f>SUM(J49:P49)+Q49</f>
        <v>10095000</v>
      </c>
      <c r="J49" s="600"/>
      <c r="K49" s="600"/>
      <c r="L49" s="600"/>
      <c r="M49" s="599"/>
      <c r="N49" s="599"/>
      <c r="O49" s="599"/>
      <c r="P49" s="599">
        <v>4395000</v>
      </c>
      <c r="Q49" s="601">
        <v>5700000</v>
      </c>
      <c r="R49" s="592">
        <f>SUM(L49:Q49)</f>
        <v>10095000</v>
      </c>
    </row>
    <row r="50" spans="1:18" s="19" customFormat="1" ht="20.25" customHeight="1" thickBot="1">
      <c r="A50" s="468"/>
      <c r="B50" s="148" t="s">
        <v>444</v>
      </c>
      <c r="C50" s="593"/>
      <c r="D50" s="593"/>
      <c r="E50" s="593"/>
      <c r="F50" s="593"/>
      <c r="G50" s="593"/>
      <c r="H50" s="593"/>
      <c r="I50" s="594"/>
      <c r="J50" s="595"/>
      <c r="K50" s="595"/>
      <c r="L50" s="595"/>
      <c r="M50" s="594"/>
      <c r="N50" s="594"/>
      <c r="O50" s="594"/>
      <c r="P50" s="594"/>
      <c r="Q50" s="596"/>
      <c r="R50" s="597"/>
    </row>
    <row r="51" spans="1:18" s="19" customFormat="1" ht="27.75" customHeight="1">
      <c r="A51" s="447" t="s">
        <v>225</v>
      </c>
      <c r="B51" s="392" t="s">
        <v>399</v>
      </c>
      <c r="C51" s="397" t="s">
        <v>163</v>
      </c>
      <c r="D51" s="398">
        <v>2012</v>
      </c>
      <c r="E51" s="398">
        <v>2013</v>
      </c>
      <c r="F51" s="333">
        <v>801</v>
      </c>
      <c r="G51" s="333">
        <v>80101</v>
      </c>
      <c r="H51" s="333">
        <v>6050</v>
      </c>
      <c r="I51" s="43">
        <f>L51+M51</f>
        <v>485000</v>
      </c>
      <c r="J51" s="323">
        <v>65000</v>
      </c>
      <c r="K51" s="323"/>
      <c r="L51" s="323">
        <f>J51+K51</f>
        <v>65000</v>
      </c>
      <c r="M51" s="132">
        <v>420000</v>
      </c>
      <c r="N51" s="405">
        <v>0</v>
      </c>
      <c r="O51" s="393">
        <v>0</v>
      </c>
      <c r="P51" s="393">
        <v>0</v>
      </c>
      <c r="Q51" s="572"/>
      <c r="R51" s="451">
        <f>SUM(L51:P51)</f>
        <v>485000</v>
      </c>
    </row>
    <row r="52" spans="1:18" s="19" customFormat="1" ht="55.5" customHeight="1">
      <c r="A52" s="462" t="s">
        <v>226</v>
      </c>
      <c r="B52" s="154" t="s">
        <v>360</v>
      </c>
      <c r="C52" s="397" t="s">
        <v>163</v>
      </c>
      <c r="D52" s="333">
        <v>2011</v>
      </c>
      <c r="E52" s="333">
        <v>2012</v>
      </c>
      <c r="F52" s="333">
        <v>801</v>
      </c>
      <c r="G52" s="333">
        <v>80101</v>
      </c>
      <c r="H52" s="333">
        <v>6050</v>
      </c>
      <c r="I52" s="43">
        <f>L52+861</f>
        <v>307961</v>
      </c>
      <c r="J52" s="323">
        <v>307100</v>
      </c>
      <c r="K52" s="323"/>
      <c r="L52" s="323">
        <f>J52+K52</f>
        <v>307100</v>
      </c>
      <c r="M52" s="132"/>
      <c r="N52" s="405">
        <v>0</v>
      </c>
      <c r="O52" s="405">
        <v>0</v>
      </c>
      <c r="P52" s="405">
        <v>0</v>
      </c>
      <c r="Q52" s="566"/>
      <c r="R52" s="440">
        <f>SUM(L52:P52)</f>
        <v>307100</v>
      </c>
    </row>
    <row r="53" spans="1:18" s="19" customFormat="1" ht="30" customHeight="1">
      <c r="A53" s="470" t="s">
        <v>375</v>
      </c>
      <c r="B53" s="471" t="s">
        <v>445</v>
      </c>
      <c r="C53" s="454" t="s">
        <v>163</v>
      </c>
      <c r="D53" s="454">
        <v>2010</v>
      </c>
      <c r="E53" s="454">
        <v>2014</v>
      </c>
      <c r="F53" s="454">
        <v>801</v>
      </c>
      <c r="G53" s="454">
        <v>80104</v>
      </c>
      <c r="H53" s="454">
        <v>6050</v>
      </c>
      <c r="I53" s="472">
        <f>L53+M53+62200+N53</f>
        <v>369200</v>
      </c>
      <c r="J53" s="473">
        <v>0</v>
      </c>
      <c r="K53" s="473"/>
      <c r="L53" s="473">
        <f>J53+K53</f>
        <v>0</v>
      </c>
      <c r="M53" s="474">
        <v>107000</v>
      </c>
      <c r="N53" s="474">
        <v>200000</v>
      </c>
      <c r="O53" s="475">
        <v>0</v>
      </c>
      <c r="P53" s="475">
        <v>0</v>
      </c>
      <c r="Q53" s="573"/>
      <c r="R53" s="476">
        <f>SUM(L53:P53)</f>
        <v>307000</v>
      </c>
    </row>
    <row r="54" spans="1:26" s="420" customFormat="1" ht="30.75" customHeight="1">
      <c r="A54" s="441" t="s">
        <v>113</v>
      </c>
      <c r="B54" s="412" t="s">
        <v>183</v>
      </c>
      <c r="C54" s="431"/>
      <c r="D54" s="431" t="s">
        <v>79</v>
      </c>
      <c r="E54" s="431" t="s">
        <v>79</v>
      </c>
      <c r="F54" s="431"/>
      <c r="G54" s="431"/>
      <c r="H54" s="431"/>
      <c r="I54" s="414">
        <f aca="true" t="shared" si="12" ref="I54:N54">I55</f>
        <v>19178766</v>
      </c>
      <c r="J54" s="414">
        <f t="shared" si="12"/>
        <v>4953063</v>
      </c>
      <c r="K54" s="414">
        <f t="shared" si="12"/>
        <v>22680</v>
      </c>
      <c r="L54" s="414">
        <f t="shared" si="12"/>
        <v>4975743</v>
      </c>
      <c r="M54" s="414">
        <f t="shared" si="12"/>
        <v>8235634</v>
      </c>
      <c r="N54" s="432">
        <f t="shared" si="12"/>
        <v>2387851</v>
      </c>
      <c r="O54" s="433">
        <v>0</v>
      </c>
      <c r="P54" s="433">
        <v>0</v>
      </c>
      <c r="Q54" s="574"/>
      <c r="R54" s="505">
        <f>SUM(L54:P54)</f>
        <v>15599228</v>
      </c>
      <c r="S54" s="434"/>
      <c r="T54" s="434"/>
      <c r="U54" s="434"/>
      <c r="V54" s="434"/>
      <c r="W54" s="434"/>
      <c r="X54" s="434"/>
      <c r="Y54" s="434"/>
      <c r="Z54" s="434"/>
    </row>
    <row r="55" spans="1:19" s="33" customFormat="1" ht="18.75" customHeight="1">
      <c r="A55" s="506"/>
      <c r="B55" s="152" t="s">
        <v>154</v>
      </c>
      <c r="C55" s="153"/>
      <c r="D55" s="153" t="s">
        <v>79</v>
      </c>
      <c r="E55" s="153" t="s">
        <v>79</v>
      </c>
      <c r="F55" s="153"/>
      <c r="G55" s="153"/>
      <c r="H55" s="153"/>
      <c r="I55" s="132">
        <f>I56</f>
        <v>19178766</v>
      </c>
      <c r="J55" s="318">
        <f aca="true" t="shared" si="13" ref="J55:R55">J56</f>
        <v>4953063</v>
      </c>
      <c r="K55" s="318">
        <f t="shared" si="13"/>
        <v>22680</v>
      </c>
      <c r="L55" s="318">
        <f t="shared" si="13"/>
        <v>4975743</v>
      </c>
      <c r="M55" s="132">
        <f t="shared" si="13"/>
        <v>8235634</v>
      </c>
      <c r="N55" s="132">
        <f t="shared" si="13"/>
        <v>2387851</v>
      </c>
      <c r="O55" s="132">
        <f t="shared" si="13"/>
        <v>946000</v>
      </c>
      <c r="P55" s="132">
        <f t="shared" si="13"/>
        <v>340000</v>
      </c>
      <c r="Q55" s="560"/>
      <c r="R55" s="479">
        <f t="shared" si="13"/>
        <v>16885228</v>
      </c>
      <c r="S55" s="240"/>
    </row>
    <row r="56" spans="1:20" s="430" customFormat="1" ht="19.5" customHeight="1">
      <c r="A56" s="463" t="s">
        <v>184</v>
      </c>
      <c r="B56" s="257" t="s">
        <v>185</v>
      </c>
      <c r="C56" s="428" t="s">
        <v>160</v>
      </c>
      <c r="D56" s="423">
        <v>2009</v>
      </c>
      <c r="E56" s="423">
        <v>2016</v>
      </c>
      <c r="F56" s="427"/>
      <c r="G56" s="427"/>
      <c r="H56" s="427"/>
      <c r="I56" s="427">
        <f>SUM(I57:I75,I76:I85,,I88,I92)</f>
        <v>19178766</v>
      </c>
      <c r="J56" s="427">
        <f aca="true" t="shared" si="14" ref="J56:O56">SUM(J57:J76,J77:J85,J88,J92)</f>
        <v>4953063</v>
      </c>
      <c r="K56" s="427">
        <f t="shared" si="14"/>
        <v>22680</v>
      </c>
      <c r="L56" s="427">
        <f t="shared" si="14"/>
        <v>4975743</v>
      </c>
      <c r="M56" s="427">
        <f t="shared" si="14"/>
        <v>8235634</v>
      </c>
      <c r="N56" s="427">
        <f t="shared" si="14"/>
        <v>2387851</v>
      </c>
      <c r="O56" s="427">
        <f t="shared" si="14"/>
        <v>946000</v>
      </c>
      <c r="P56" s="427">
        <f>SUM(P57:P76,P77:P85,P88)</f>
        <v>340000</v>
      </c>
      <c r="Q56" s="427"/>
      <c r="R56" s="427">
        <f>SUM(R57:R76,R77:R85,R88,R92)</f>
        <v>16885228</v>
      </c>
      <c r="S56" s="429">
        <f>SUM(L56:P56)</f>
        <v>16885228</v>
      </c>
      <c r="T56" s="429">
        <f>S57-S56</f>
        <v>0</v>
      </c>
    </row>
    <row r="57" spans="1:20" s="33" customFormat="1" ht="38.25" customHeight="1">
      <c r="A57" s="478" t="s">
        <v>186</v>
      </c>
      <c r="B57" s="654" t="s">
        <v>440</v>
      </c>
      <c r="C57" s="333" t="s">
        <v>173</v>
      </c>
      <c r="D57" s="333">
        <v>2012</v>
      </c>
      <c r="E57" s="333">
        <v>2014</v>
      </c>
      <c r="F57" s="43">
        <v>150</v>
      </c>
      <c r="G57" s="43">
        <v>15011</v>
      </c>
      <c r="H57" s="43">
        <v>6639</v>
      </c>
      <c r="I57" s="43">
        <f>R57</f>
        <v>22401</v>
      </c>
      <c r="J57" s="323"/>
      <c r="K57" s="323">
        <v>18061</v>
      </c>
      <c r="L57" s="323">
        <f>J57+K57</f>
        <v>18061</v>
      </c>
      <c r="M57" s="132">
        <v>2480</v>
      </c>
      <c r="N57" s="132">
        <v>1860</v>
      </c>
      <c r="O57" s="132"/>
      <c r="P57" s="132"/>
      <c r="Q57" s="560"/>
      <c r="R57" s="440">
        <f>SUM(L57:P57)</f>
        <v>22401</v>
      </c>
      <c r="S57" s="240">
        <f>L56+M56+N56+O56+P56</f>
        <v>16885228</v>
      </c>
      <c r="T57" s="240">
        <f>J56+K56</f>
        <v>4975743</v>
      </c>
    </row>
    <row r="58" spans="1:20" s="33" customFormat="1" ht="38.25" customHeight="1">
      <c r="A58" s="478" t="s">
        <v>188</v>
      </c>
      <c r="B58" s="303" t="s">
        <v>295</v>
      </c>
      <c r="C58" s="333" t="s">
        <v>173</v>
      </c>
      <c r="D58" s="333">
        <v>2012</v>
      </c>
      <c r="E58" s="333">
        <v>2013</v>
      </c>
      <c r="F58" s="43">
        <v>600</v>
      </c>
      <c r="G58" s="43" t="s">
        <v>187</v>
      </c>
      <c r="H58" s="43">
        <v>6050</v>
      </c>
      <c r="I58" s="43">
        <f>L58+M58</f>
        <v>100225</v>
      </c>
      <c r="J58" s="323">
        <v>225</v>
      </c>
      <c r="K58" s="323"/>
      <c r="L58" s="323">
        <f>J58+K58</f>
        <v>225</v>
      </c>
      <c r="M58" s="132">
        <v>100000</v>
      </c>
      <c r="N58" s="132"/>
      <c r="O58" s="132"/>
      <c r="P58" s="132"/>
      <c r="Q58" s="640"/>
      <c r="R58" s="440">
        <f>SUM(L58:P58)</f>
        <v>100225</v>
      </c>
      <c r="S58" s="240"/>
      <c r="T58" s="240"/>
    </row>
    <row r="59" spans="1:19" s="33" customFormat="1" ht="38.25" customHeight="1">
      <c r="A59" s="478" t="s">
        <v>400</v>
      </c>
      <c r="B59" s="453" t="s">
        <v>353</v>
      </c>
      <c r="C59" s="333" t="s">
        <v>173</v>
      </c>
      <c r="D59" s="333">
        <v>2012</v>
      </c>
      <c r="E59" s="333">
        <v>2013</v>
      </c>
      <c r="F59" s="43">
        <v>600</v>
      </c>
      <c r="G59" s="43">
        <v>60016</v>
      </c>
      <c r="H59" s="43">
        <v>6050</v>
      </c>
      <c r="I59" s="43">
        <f>L59+M59</f>
        <v>60225</v>
      </c>
      <c r="J59" s="323">
        <v>225</v>
      </c>
      <c r="K59" s="323"/>
      <c r="L59" s="323">
        <f>J59+K59</f>
        <v>225</v>
      </c>
      <c r="M59" s="132">
        <v>60000</v>
      </c>
      <c r="N59" s="132"/>
      <c r="O59" s="132"/>
      <c r="P59" s="132"/>
      <c r="Q59" s="560"/>
      <c r="R59" s="440">
        <f aca="true" t="shared" si="15" ref="R59:R88">SUM(L59:P59)</f>
        <v>60225</v>
      </c>
      <c r="S59" s="240">
        <f>SUM(R57:R76,R77:R85,R88,R92)</f>
        <v>16885228</v>
      </c>
    </row>
    <row r="60" spans="1:19" s="33" customFormat="1" ht="36.75" customHeight="1">
      <c r="A60" s="478" t="s">
        <v>190</v>
      </c>
      <c r="B60" s="557" t="s">
        <v>340</v>
      </c>
      <c r="C60" s="333" t="s">
        <v>173</v>
      </c>
      <c r="D60" s="333">
        <v>2012</v>
      </c>
      <c r="E60" s="333">
        <v>2015</v>
      </c>
      <c r="F60" s="43">
        <v>600</v>
      </c>
      <c r="G60" s="43">
        <v>60016</v>
      </c>
      <c r="H60" s="43">
        <v>6050</v>
      </c>
      <c r="I60" s="43">
        <f>R60</f>
        <v>336211</v>
      </c>
      <c r="J60" s="323">
        <v>56211</v>
      </c>
      <c r="K60" s="323"/>
      <c r="L60" s="323">
        <f>J60+K60</f>
        <v>56211</v>
      </c>
      <c r="M60" s="132">
        <v>60000</v>
      </c>
      <c r="N60" s="132">
        <v>120000</v>
      </c>
      <c r="O60" s="132">
        <v>100000</v>
      </c>
      <c r="P60" s="132"/>
      <c r="Q60" s="560"/>
      <c r="R60" s="440">
        <f t="shared" si="15"/>
        <v>336211</v>
      </c>
      <c r="S60" s="240"/>
    </row>
    <row r="61" spans="1:18" s="33" customFormat="1" ht="30" customHeight="1">
      <c r="A61" s="478" t="s">
        <v>239</v>
      </c>
      <c r="B61" s="687" t="s">
        <v>296</v>
      </c>
      <c r="C61" s="454" t="s">
        <v>173</v>
      </c>
      <c r="D61" s="454">
        <v>2009</v>
      </c>
      <c r="E61" s="454">
        <v>2013</v>
      </c>
      <c r="F61" s="472">
        <v>600</v>
      </c>
      <c r="G61" s="472" t="s">
        <v>187</v>
      </c>
      <c r="H61" s="472">
        <v>6050</v>
      </c>
      <c r="I61" s="472">
        <f>L61+M61+541582</f>
        <v>4696782</v>
      </c>
      <c r="J61" s="473">
        <v>1660000</v>
      </c>
      <c r="K61" s="473"/>
      <c r="L61" s="473">
        <f aca="true" t="shared" si="16" ref="L61:L81">J61+K61</f>
        <v>1660000</v>
      </c>
      <c r="M61" s="472">
        <v>2495200</v>
      </c>
      <c r="N61" s="474"/>
      <c r="O61" s="474"/>
      <c r="P61" s="474"/>
      <c r="Q61" s="688"/>
      <c r="R61" s="476">
        <f>SUM(L61:P61)</f>
        <v>4155200</v>
      </c>
    </row>
    <row r="62" spans="1:18" s="33" customFormat="1" ht="29.25" customHeight="1">
      <c r="A62" s="478" t="s">
        <v>233</v>
      </c>
      <c r="B62" s="686" t="s">
        <v>314</v>
      </c>
      <c r="C62" s="494" t="s">
        <v>173</v>
      </c>
      <c r="D62" s="494">
        <v>2009</v>
      </c>
      <c r="E62" s="494">
        <v>2014</v>
      </c>
      <c r="F62" s="649">
        <v>600</v>
      </c>
      <c r="G62" s="649" t="s">
        <v>187</v>
      </c>
      <c r="H62" s="649">
        <v>6050</v>
      </c>
      <c r="I62" s="649">
        <f>L62+M62+N62+150269</f>
        <v>350269</v>
      </c>
      <c r="J62" s="524">
        <v>0</v>
      </c>
      <c r="K62" s="524"/>
      <c r="L62" s="524">
        <f t="shared" si="16"/>
        <v>0</v>
      </c>
      <c r="M62" s="650">
        <v>50000</v>
      </c>
      <c r="N62" s="650">
        <v>150000</v>
      </c>
      <c r="O62" s="650"/>
      <c r="P62" s="650"/>
      <c r="Q62" s="682"/>
      <c r="R62" s="499">
        <f t="shared" si="15"/>
        <v>200000</v>
      </c>
    </row>
    <row r="63" spans="1:18" s="33" customFormat="1" ht="36.75" customHeight="1">
      <c r="A63" s="478" t="s">
        <v>234</v>
      </c>
      <c r="B63" s="628" t="s">
        <v>363</v>
      </c>
      <c r="C63" s="643" t="s">
        <v>173</v>
      </c>
      <c r="D63" s="643">
        <v>2009</v>
      </c>
      <c r="E63" s="643">
        <v>2014</v>
      </c>
      <c r="F63" s="245">
        <v>600</v>
      </c>
      <c r="G63" s="245" t="s">
        <v>187</v>
      </c>
      <c r="H63" s="245">
        <v>6050</v>
      </c>
      <c r="I63" s="245">
        <f>L63+M63+22814+N63</f>
        <v>193109</v>
      </c>
      <c r="J63" s="322">
        <v>20295</v>
      </c>
      <c r="K63" s="322"/>
      <c r="L63" s="322">
        <f t="shared" si="16"/>
        <v>20295</v>
      </c>
      <c r="M63" s="245">
        <v>50000</v>
      </c>
      <c r="N63" s="246">
        <v>100000</v>
      </c>
      <c r="O63" s="246"/>
      <c r="P63" s="246"/>
      <c r="Q63" s="569"/>
      <c r="R63" s="451">
        <f t="shared" si="15"/>
        <v>170295</v>
      </c>
    </row>
    <row r="64" spans="1:18" s="33" customFormat="1" ht="59.25" customHeight="1">
      <c r="A64" s="478" t="s">
        <v>240</v>
      </c>
      <c r="B64" s="305" t="s">
        <v>361</v>
      </c>
      <c r="C64" s="333" t="s">
        <v>173</v>
      </c>
      <c r="D64" s="333">
        <v>2012</v>
      </c>
      <c r="E64" s="333">
        <v>2013</v>
      </c>
      <c r="F64" s="43">
        <v>600</v>
      </c>
      <c r="G64" s="43" t="s">
        <v>187</v>
      </c>
      <c r="H64" s="43">
        <v>6050</v>
      </c>
      <c r="I64" s="43">
        <f>L64+M64+N64</f>
        <v>35225</v>
      </c>
      <c r="J64" s="323">
        <v>225</v>
      </c>
      <c r="K64" s="323"/>
      <c r="L64" s="323">
        <f>J64+K64</f>
        <v>225</v>
      </c>
      <c r="M64" s="132">
        <v>35000</v>
      </c>
      <c r="N64" s="132"/>
      <c r="O64" s="132"/>
      <c r="P64" s="132"/>
      <c r="Q64" s="560"/>
      <c r="R64" s="440">
        <f t="shared" si="15"/>
        <v>35225</v>
      </c>
    </row>
    <row r="65" spans="1:18" s="33" customFormat="1" ht="30" customHeight="1">
      <c r="A65" s="478" t="s">
        <v>441</v>
      </c>
      <c r="B65" s="251" t="s">
        <v>364</v>
      </c>
      <c r="C65" s="333" t="s">
        <v>173</v>
      </c>
      <c r="D65" s="333">
        <v>2012</v>
      </c>
      <c r="E65" s="333">
        <v>2013</v>
      </c>
      <c r="F65" s="43">
        <v>600</v>
      </c>
      <c r="G65" s="43">
        <v>60016</v>
      </c>
      <c r="H65" s="43">
        <v>6050</v>
      </c>
      <c r="I65" s="43">
        <f>L65+M65</f>
        <v>70225</v>
      </c>
      <c r="J65" s="323">
        <v>225</v>
      </c>
      <c r="K65" s="323"/>
      <c r="L65" s="323">
        <f t="shared" si="16"/>
        <v>225</v>
      </c>
      <c r="M65" s="43">
        <v>70000</v>
      </c>
      <c r="N65" s="132"/>
      <c r="O65" s="132"/>
      <c r="P65" s="132"/>
      <c r="Q65" s="560"/>
      <c r="R65" s="440">
        <f t="shared" si="15"/>
        <v>70225</v>
      </c>
    </row>
    <row r="66" spans="1:18" s="33" customFormat="1" ht="29.25" customHeight="1">
      <c r="A66" s="478" t="s">
        <v>442</v>
      </c>
      <c r="B66" s="251" t="s">
        <v>354</v>
      </c>
      <c r="C66" s="333" t="s">
        <v>173</v>
      </c>
      <c r="D66" s="333">
        <v>2012</v>
      </c>
      <c r="E66" s="333">
        <v>2013</v>
      </c>
      <c r="F66" s="43">
        <v>600</v>
      </c>
      <c r="G66" s="43">
        <v>60016</v>
      </c>
      <c r="H66" s="43">
        <v>6050</v>
      </c>
      <c r="I66" s="43">
        <f>L66+M66</f>
        <v>75225</v>
      </c>
      <c r="J66" s="323">
        <v>225</v>
      </c>
      <c r="K66" s="323"/>
      <c r="L66" s="323">
        <f>J66+K66</f>
        <v>225</v>
      </c>
      <c r="M66" s="43">
        <v>75000</v>
      </c>
      <c r="N66" s="132"/>
      <c r="O66" s="132"/>
      <c r="P66" s="132"/>
      <c r="Q66" s="560"/>
      <c r="R66" s="440">
        <f t="shared" si="15"/>
        <v>75225</v>
      </c>
    </row>
    <row r="67" spans="1:18" s="33" customFormat="1" ht="33.75" customHeight="1">
      <c r="A67" s="478" t="s">
        <v>260</v>
      </c>
      <c r="B67" s="250" t="s">
        <v>278</v>
      </c>
      <c r="C67" s="333" t="s">
        <v>173</v>
      </c>
      <c r="D67" s="333">
        <v>2011</v>
      </c>
      <c r="E67" s="333">
        <v>2013</v>
      </c>
      <c r="F67" s="43">
        <v>600</v>
      </c>
      <c r="G67" s="43" t="s">
        <v>187</v>
      </c>
      <c r="H67" s="43">
        <v>6050</v>
      </c>
      <c r="I67" s="43">
        <f>R67+67650</f>
        <v>778650</v>
      </c>
      <c r="J67" s="323">
        <v>473000</v>
      </c>
      <c r="K67" s="323"/>
      <c r="L67" s="323">
        <f t="shared" si="16"/>
        <v>473000</v>
      </c>
      <c r="M67" s="43">
        <v>238000</v>
      </c>
      <c r="N67" s="132"/>
      <c r="O67" s="132"/>
      <c r="P67" s="132"/>
      <c r="Q67" s="560"/>
      <c r="R67" s="440">
        <f t="shared" si="15"/>
        <v>711000</v>
      </c>
    </row>
    <row r="68" spans="1:18" s="33" customFormat="1" ht="21" customHeight="1">
      <c r="A68" s="478" t="s">
        <v>261</v>
      </c>
      <c r="B68" s="250" t="s">
        <v>269</v>
      </c>
      <c r="C68" s="333" t="s">
        <v>173</v>
      </c>
      <c r="D68" s="333">
        <v>2013</v>
      </c>
      <c r="E68" s="333">
        <v>2015</v>
      </c>
      <c r="F68" s="43">
        <v>600</v>
      </c>
      <c r="G68" s="43" t="s">
        <v>187</v>
      </c>
      <c r="H68" s="43">
        <v>6050</v>
      </c>
      <c r="I68" s="43">
        <f>L68+M68+N68+O68</f>
        <v>750000</v>
      </c>
      <c r="J68" s="323">
        <v>0</v>
      </c>
      <c r="K68" s="324"/>
      <c r="L68" s="323">
        <f t="shared" si="16"/>
        <v>0</v>
      </c>
      <c r="M68" s="396">
        <v>50000</v>
      </c>
      <c r="N68" s="244">
        <v>700000</v>
      </c>
      <c r="O68" s="244"/>
      <c r="P68" s="244"/>
      <c r="Q68" s="562"/>
      <c r="R68" s="440">
        <f t="shared" si="15"/>
        <v>750000</v>
      </c>
    </row>
    <row r="69" spans="1:18" s="33" customFormat="1" ht="21" customHeight="1">
      <c r="A69" s="478" t="s">
        <v>262</v>
      </c>
      <c r="B69" s="250" t="s">
        <v>270</v>
      </c>
      <c r="C69" s="333" t="s">
        <v>173</v>
      </c>
      <c r="D69" s="333">
        <v>2013</v>
      </c>
      <c r="E69" s="333">
        <v>2015</v>
      </c>
      <c r="F69" s="43">
        <v>600</v>
      </c>
      <c r="G69" s="43" t="s">
        <v>187</v>
      </c>
      <c r="H69" s="43">
        <v>6050</v>
      </c>
      <c r="I69" s="43">
        <f>L69+M69+N69+O69</f>
        <v>250000</v>
      </c>
      <c r="J69" s="323">
        <v>0</v>
      </c>
      <c r="K69" s="324"/>
      <c r="L69" s="323">
        <f t="shared" si="16"/>
        <v>0</v>
      </c>
      <c r="M69" s="554">
        <v>50000</v>
      </c>
      <c r="N69" s="550">
        <v>100000</v>
      </c>
      <c r="O69" s="550">
        <v>100000</v>
      </c>
      <c r="P69" s="244"/>
      <c r="Q69" s="562"/>
      <c r="R69" s="440">
        <f t="shared" si="15"/>
        <v>250000</v>
      </c>
    </row>
    <row r="70" spans="1:18" s="33" customFormat="1" ht="21" customHeight="1">
      <c r="A70" s="478" t="s">
        <v>263</v>
      </c>
      <c r="B70" s="250" t="s">
        <v>271</v>
      </c>
      <c r="C70" s="333" t="s">
        <v>173</v>
      </c>
      <c r="D70" s="333">
        <v>2012</v>
      </c>
      <c r="E70" s="333">
        <v>2013</v>
      </c>
      <c r="F70" s="43">
        <v>600</v>
      </c>
      <c r="G70" s="43" t="s">
        <v>187</v>
      </c>
      <c r="H70" s="43">
        <v>6050</v>
      </c>
      <c r="I70" s="43">
        <f>L70+M70</f>
        <v>710000</v>
      </c>
      <c r="J70" s="323">
        <v>196000</v>
      </c>
      <c r="K70" s="324"/>
      <c r="L70" s="323">
        <f t="shared" si="16"/>
        <v>196000</v>
      </c>
      <c r="M70" s="396">
        <v>514000</v>
      </c>
      <c r="N70" s="244"/>
      <c r="O70" s="244"/>
      <c r="P70" s="244"/>
      <c r="Q70" s="562"/>
      <c r="R70" s="440">
        <f t="shared" si="15"/>
        <v>710000</v>
      </c>
    </row>
    <row r="71" spans="1:18" s="33" customFormat="1" ht="49.5" customHeight="1">
      <c r="A71" s="478" t="s">
        <v>264</v>
      </c>
      <c r="B71" s="250" t="s">
        <v>355</v>
      </c>
      <c r="C71" s="333" t="s">
        <v>173</v>
      </c>
      <c r="D71" s="333">
        <v>2012</v>
      </c>
      <c r="E71" s="333">
        <v>2013</v>
      </c>
      <c r="F71" s="43">
        <v>600</v>
      </c>
      <c r="G71" s="43">
        <v>60016</v>
      </c>
      <c r="H71" s="43">
        <v>6050</v>
      </c>
      <c r="I71" s="43">
        <f>L71+M71</f>
        <v>45225</v>
      </c>
      <c r="J71" s="324">
        <v>225</v>
      </c>
      <c r="K71" s="324"/>
      <c r="L71" s="323">
        <f>J71+K71</f>
        <v>225</v>
      </c>
      <c r="M71" s="396">
        <v>45000</v>
      </c>
      <c r="N71" s="244"/>
      <c r="O71" s="244"/>
      <c r="P71" s="244"/>
      <c r="Q71" s="562"/>
      <c r="R71" s="440">
        <f t="shared" si="15"/>
        <v>45225</v>
      </c>
    </row>
    <row r="72" spans="1:18" s="33" customFormat="1" ht="60.75" customHeight="1">
      <c r="A72" s="478" t="s">
        <v>265</v>
      </c>
      <c r="B72" s="250" t="s">
        <v>356</v>
      </c>
      <c r="C72" s="333" t="s">
        <v>173</v>
      </c>
      <c r="D72" s="333">
        <v>2012</v>
      </c>
      <c r="E72" s="333">
        <v>2013</v>
      </c>
      <c r="F72" s="43">
        <v>600</v>
      </c>
      <c r="G72" s="43">
        <v>60016</v>
      </c>
      <c r="H72" s="43">
        <v>6050</v>
      </c>
      <c r="I72" s="43">
        <f>L72+M72</f>
        <v>35225</v>
      </c>
      <c r="J72" s="324">
        <v>225</v>
      </c>
      <c r="K72" s="324"/>
      <c r="L72" s="323">
        <f>J72+K72</f>
        <v>225</v>
      </c>
      <c r="M72" s="396">
        <v>35000</v>
      </c>
      <c r="N72" s="244"/>
      <c r="O72" s="244"/>
      <c r="P72" s="244"/>
      <c r="Q72" s="562"/>
      <c r="R72" s="440">
        <f t="shared" si="15"/>
        <v>35225</v>
      </c>
    </row>
    <row r="73" spans="1:18" s="33" customFormat="1" ht="51" customHeight="1">
      <c r="A73" s="478" t="s">
        <v>279</v>
      </c>
      <c r="B73" s="250" t="s">
        <v>415</v>
      </c>
      <c r="C73" s="333" t="s">
        <v>173</v>
      </c>
      <c r="D73" s="333">
        <v>2013</v>
      </c>
      <c r="E73" s="333">
        <v>2015</v>
      </c>
      <c r="F73" s="43">
        <v>600</v>
      </c>
      <c r="G73" s="43">
        <v>60016</v>
      </c>
      <c r="H73" s="43">
        <v>6050</v>
      </c>
      <c r="I73" s="43">
        <f>L73+M73+O73+P73</f>
        <v>170000</v>
      </c>
      <c r="J73" s="324">
        <v>0</v>
      </c>
      <c r="K73" s="324"/>
      <c r="L73" s="323">
        <f>J73+K73</f>
        <v>0</v>
      </c>
      <c r="M73" s="396">
        <v>70000</v>
      </c>
      <c r="N73" s="244"/>
      <c r="O73" s="244">
        <v>100000</v>
      </c>
      <c r="P73" s="244"/>
      <c r="Q73" s="562"/>
      <c r="R73" s="440">
        <f t="shared" si="15"/>
        <v>170000</v>
      </c>
    </row>
    <row r="74" spans="1:18" s="33" customFormat="1" ht="28.5" customHeight="1">
      <c r="A74" s="478" t="s">
        <v>297</v>
      </c>
      <c r="B74" s="250" t="s">
        <v>273</v>
      </c>
      <c r="C74" s="333" t="s">
        <v>173</v>
      </c>
      <c r="D74" s="333">
        <v>2013</v>
      </c>
      <c r="E74" s="333">
        <v>2014</v>
      </c>
      <c r="F74" s="43">
        <v>600</v>
      </c>
      <c r="G74" s="43" t="s">
        <v>187</v>
      </c>
      <c r="H74" s="43">
        <v>6050</v>
      </c>
      <c r="I74" s="43">
        <f>L74+M74+N74</f>
        <v>542722</v>
      </c>
      <c r="J74" s="323">
        <v>0</v>
      </c>
      <c r="K74" s="324"/>
      <c r="L74" s="323">
        <f t="shared" si="16"/>
        <v>0</v>
      </c>
      <c r="M74" s="396">
        <v>105000</v>
      </c>
      <c r="N74" s="244">
        <v>437722</v>
      </c>
      <c r="O74" s="244"/>
      <c r="P74" s="244"/>
      <c r="Q74" s="562"/>
      <c r="R74" s="440">
        <f t="shared" si="15"/>
        <v>542722</v>
      </c>
    </row>
    <row r="75" spans="1:18" s="33" customFormat="1" ht="33.75" customHeight="1">
      <c r="A75" s="478" t="s">
        <v>298</v>
      </c>
      <c r="B75" s="335" t="s">
        <v>258</v>
      </c>
      <c r="C75" s="333" t="s">
        <v>173</v>
      </c>
      <c r="D75" s="333">
        <v>2011</v>
      </c>
      <c r="E75" s="333">
        <v>2012</v>
      </c>
      <c r="F75" s="43">
        <v>600</v>
      </c>
      <c r="G75" s="43">
        <v>60016</v>
      </c>
      <c r="H75" s="43">
        <v>6050</v>
      </c>
      <c r="I75" s="43">
        <f>L75+M75+1070071</f>
        <v>2283971</v>
      </c>
      <c r="J75" s="323">
        <v>1213900</v>
      </c>
      <c r="K75" s="323"/>
      <c r="L75" s="323">
        <f t="shared" si="16"/>
        <v>1213900</v>
      </c>
      <c r="M75" s="43"/>
      <c r="N75" s="132"/>
      <c r="O75" s="132"/>
      <c r="P75" s="132"/>
      <c r="Q75" s="560"/>
      <c r="R75" s="440">
        <f t="shared" si="15"/>
        <v>1213900</v>
      </c>
    </row>
    <row r="76" spans="1:18" s="33" customFormat="1" ht="32.25" customHeight="1">
      <c r="A76" s="478" t="s">
        <v>338</v>
      </c>
      <c r="B76" s="507" t="s">
        <v>358</v>
      </c>
      <c r="C76" s="454" t="s">
        <v>173</v>
      </c>
      <c r="D76" s="454">
        <v>2012</v>
      </c>
      <c r="E76" s="454">
        <v>2016</v>
      </c>
      <c r="F76" s="472">
        <v>600</v>
      </c>
      <c r="G76" s="472">
        <v>60016</v>
      </c>
      <c r="H76" s="472">
        <v>6050</v>
      </c>
      <c r="I76" s="472">
        <f>L76+P76+O76+M76</f>
        <v>405225</v>
      </c>
      <c r="J76" s="473">
        <v>225</v>
      </c>
      <c r="K76" s="473"/>
      <c r="L76" s="473">
        <f t="shared" si="16"/>
        <v>225</v>
      </c>
      <c r="M76" s="472">
        <v>45000</v>
      </c>
      <c r="N76" s="474"/>
      <c r="O76" s="474">
        <v>220000</v>
      </c>
      <c r="P76" s="474">
        <v>140000</v>
      </c>
      <c r="Q76" s="562"/>
      <c r="R76" s="440">
        <f t="shared" si="15"/>
        <v>405225</v>
      </c>
    </row>
    <row r="77" spans="1:18" s="33" customFormat="1" ht="54.75" customHeight="1">
      <c r="A77" s="478" t="s">
        <v>344</v>
      </c>
      <c r="B77" s="316" t="s">
        <v>359</v>
      </c>
      <c r="C77" s="333" t="s">
        <v>173</v>
      </c>
      <c r="D77" s="333">
        <v>2012</v>
      </c>
      <c r="E77" s="333">
        <v>2013</v>
      </c>
      <c r="F77" s="43">
        <v>600</v>
      </c>
      <c r="G77" s="43">
        <v>60016</v>
      </c>
      <c r="H77" s="43">
        <v>6050</v>
      </c>
      <c r="I77" s="43">
        <f>L77+M77</f>
        <v>35225</v>
      </c>
      <c r="J77" s="324">
        <v>225</v>
      </c>
      <c r="K77" s="324"/>
      <c r="L77" s="323">
        <f>J77+K77</f>
        <v>225</v>
      </c>
      <c r="M77" s="396">
        <v>35000</v>
      </c>
      <c r="N77" s="244"/>
      <c r="O77" s="244"/>
      <c r="P77" s="244"/>
      <c r="Q77" s="562"/>
      <c r="R77" s="440">
        <f t="shared" si="15"/>
        <v>35225</v>
      </c>
    </row>
    <row r="78" spans="1:18" s="33" customFormat="1" ht="37.5" customHeight="1">
      <c r="A78" s="478" t="s">
        <v>345</v>
      </c>
      <c r="B78" s="304" t="s">
        <v>247</v>
      </c>
      <c r="C78" s="333" t="s">
        <v>173</v>
      </c>
      <c r="D78" s="333">
        <v>2011</v>
      </c>
      <c r="E78" s="333">
        <v>2013</v>
      </c>
      <c r="F78" s="43">
        <v>600</v>
      </c>
      <c r="G78" s="43" t="s">
        <v>187</v>
      </c>
      <c r="H78" s="43">
        <v>6050</v>
      </c>
      <c r="I78" s="43">
        <f>L78+M78+212845</f>
        <v>918010</v>
      </c>
      <c r="J78" s="323">
        <v>295165</v>
      </c>
      <c r="K78" s="323"/>
      <c r="L78" s="323">
        <f t="shared" si="16"/>
        <v>295165</v>
      </c>
      <c r="M78" s="43">
        <v>410000</v>
      </c>
      <c r="N78" s="43"/>
      <c r="O78" s="43"/>
      <c r="P78" s="43"/>
      <c r="Q78" s="575"/>
      <c r="R78" s="440">
        <f t="shared" si="15"/>
        <v>705165</v>
      </c>
    </row>
    <row r="79" spans="1:18" s="33" customFormat="1" ht="49.5" customHeight="1">
      <c r="A79" s="478" t="s">
        <v>346</v>
      </c>
      <c r="B79" s="306" t="s">
        <v>337</v>
      </c>
      <c r="C79" s="333" t="s">
        <v>173</v>
      </c>
      <c r="D79" s="333">
        <v>2012</v>
      </c>
      <c r="E79" s="333">
        <v>2016</v>
      </c>
      <c r="F79" s="43">
        <v>600</v>
      </c>
      <c r="G79" s="43" t="s">
        <v>187</v>
      </c>
      <c r="H79" s="43">
        <v>6050</v>
      </c>
      <c r="I79" s="43">
        <f>R79</f>
        <v>168671</v>
      </c>
      <c r="J79" s="323">
        <v>58671</v>
      </c>
      <c r="K79" s="323"/>
      <c r="L79" s="323">
        <f t="shared" si="16"/>
        <v>58671</v>
      </c>
      <c r="M79" s="43"/>
      <c r="N79" s="132"/>
      <c r="O79" s="132">
        <v>10000</v>
      </c>
      <c r="P79" s="132">
        <v>100000</v>
      </c>
      <c r="Q79" s="560"/>
      <c r="R79" s="440">
        <f t="shared" si="15"/>
        <v>168671</v>
      </c>
    </row>
    <row r="80" spans="1:18" s="33" customFormat="1" ht="42.75" customHeight="1">
      <c r="A80" s="478" t="s">
        <v>347</v>
      </c>
      <c r="B80" s="681" t="s">
        <v>343</v>
      </c>
      <c r="C80" s="639" t="s">
        <v>173</v>
      </c>
      <c r="D80" s="639">
        <v>2012</v>
      </c>
      <c r="E80" s="639">
        <v>2016</v>
      </c>
      <c r="F80" s="641">
        <v>600</v>
      </c>
      <c r="G80" s="641">
        <v>60016</v>
      </c>
      <c r="H80" s="641">
        <v>6050</v>
      </c>
      <c r="I80" s="641">
        <f>L80+M80+N80+O80+P80</f>
        <v>367650</v>
      </c>
      <c r="J80" s="646">
        <v>0</v>
      </c>
      <c r="K80" s="646"/>
      <c r="L80" s="646">
        <f>J80+K80</f>
        <v>0</v>
      </c>
      <c r="M80" s="641">
        <v>167650</v>
      </c>
      <c r="N80" s="644">
        <v>0</v>
      </c>
      <c r="O80" s="644">
        <v>100000</v>
      </c>
      <c r="P80" s="644">
        <v>100000</v>
      </c>
      <c r="Q80" s="562"/>
      <c r="R80" s="645">
        <f t="shared" si="15"/>
        <v>367650</v>
      </c>
    </row>
    <row r="81" spans="1:18" s="33" customFormat="1" ht="45.75" customHeight="1">
      <c r="A81" s="478" t="s">
        <v>348</v>
      </c>
      <c r="B81" s="250" t="s">
        <v>248</v>
      </c>
      <c r="C81" s="494" t="s">
        <v>173</v>
      </c>
      <c r="D81" s="494">
        <v>2011</v>
      </c>
      <c r="E81" s="494">
        <v>2012</v>
      </c>
      <c r="F81" s="649">
        <v>600</v>
      </c>
      <c r="G81" s="649" t="s">
        <v>187</v>
      </c>
      <c r="H81" s="649">
        <v>6050</v>
      </c>
      <c r="I81" s="649">
        <f>L81+M81+218957</f>
        <v>1089504</v>
      </c>
      <c r="J81" s="524">
        <v>870547</v>
      </c>
      <c r="K81" s="524"/>
      <c r="L81" s="524">
        <f t="shared" si="16"/>
        <v>870547</v>
      </c>
      <c r="M81" s="650"/>
      <c r="N81" s="650"/>
      <c r="O81" s="650"/>
      <c r="P81" s="650"/>
      <c r="Q81" s="682"/>
      <c r="R81" s="499">
        <f t="shared" si="15"/>
        <v>870547</v>
      </c>
    </row>
    <row r="82" spans="1:18" s="33" customFormat="1" ht="45" customHeight="1">
      <c r="A82" s="478" t="s">
        <v>349</v>
      </c>
      <c r="B82" s="683" t="s">
        <v>416</v>
      </c>
      <c r="C82" s="661" t="s">
        <v>173</v>
      </c>
      <c r="D82" s="661">
        <v>2011</v>
      </c>
      <c r="E82" s="661">
        <v>2015</v>
      </c>
      <c r="F82" s="684">
        <v>600</v>
      </c>
      <c r="G82" s="684" t="s">
        <v>187</v>
      </c>
      <c r="H82" s="684">
        <v>6050</v>
      </c>
      <c r="I82" s="684">
        <f>L82+M82+9350+N82+O82</f>
        <v>563525</v>
      </c>
      <c r="J82" s="664">
        <v>89175</v>
      </c>
      <c r="K82" s="664"/>
      <c r="L82" s="664">
        <f>J82+K82</f>
        <v>89175</v>
      </c>
      <c r="M82" s="684">
        <v>95000</v>
      </c>
      <c r="N82" s="684">
        <v>100000</v>
      </c>
      <c r="O82" s="684">
        <v>270000</v>
      </c>
      <c r="P82" s="684"/>
      <c r="Q82" s="685"/>
      <c r="R82" s="669">
        <f t="shared" si="15"/>
        <v>554175</v>
      </c>
    </row>
    <row r="83" spans="1:18" s="33" customFormat="1" ht="40.5" customHeight="1">
      <c r="A83" s="478" t="s">
        <v>352</v>
      </c>
      <c r="B83" s="304" t="s">
        <v>357</v>
      </c>
      <c r="C83" s="333" t="s">
        <v>173</v>
      </c>
      <c r="D83" s="333">
        <v>2012</v>
      </c>
      <c r="E83" s="333">
        <v>2013</v>
      </c>
      <c r="F83" s="43">
        <v>600</v>
      </c>
      <c r="G83" s="43" t="s">
        <v>187</v>
      </c>
      <c r="H83" s="43">
        <v>6050</v>
      </c>
      <c r="I83" s="43">
        <f>L83+M83</f>
        <v>95225</v>
      </c>
      <c r="J83" s="323">
        <v>225</v>
      </c>
      <c r="K83" s="323"/>
      <c r="L83" s="323">
        <f>J83+K83</f>
        <v>225</v>
      </c>
      <c r="M83" s="43">
        <v>95000</v>
      </c>
      <c r="N83" s="43"/>
      <c r="O83" s="43"/>
      <c r="P83" s="43"/>
      <c r="Q83" s="575"/>
      <c r="R83" s="440">
        <f t="shared" si="15"/>
        <v>95225</v>
      </c>
    </row>
    <row r="84" spans="1:18" s="33" customFormat="1" ht="27" customHeight="1">
      <c r="A84" s="478" t="s">
        <v>438</v>
      </c>
      <c r="B84" s="339" t="s">
        <v>417</v>
      </c>
      <c r="C84" s="333" t="s">
        <v>173</v>
      </c>
      <c r="D84" s="333">
        <v>2012</v>
      </c>
      <c r="E84" s="333">
        <v>2014</v>
      </c>
      <c r="F84" s="43">
        <v>600</v>
      </c>
      <c r="G84" s="43" t="s">
        <v>187</v>
      </c>
      <c r="H84" s="43">
        <v>6050</v>
      </c>
      <c r="I84" s="43">
        <f>L84+M84+N84</f>
        <v>659000</v>
      </c>
      <c r="J84" s="323">
        <v>10000</v>
      </c>
      <c r="K84" s="323"/>
      <c r="L84" s="323">
        <f>J84+K84</f>
        <v>10000</v>
      </c>
      <c r="M84" s="43">
        <v>149000</v>
      </c>
      <c r="N84" s="43">
        <v>500000</v>
      </c>
      <c r="O84" s="43"/>
      <c r="P84" s="43"/>
      <c r="Q84" s="575"/>
      <c r="R84" s="440">
        <f t="shared" si="15"/>
        <v>659000</v>
      </c>
    </row>
    <row r="85" spans="1:18" s="33" customFormat="1" ht="23.25" customHeight="1">
      <c r="A85" s="823" t="s">
        <v>447</v>
      </c>
      <c r="B85" s="824" t="s">
        <v>341</v>
      </c>
      <c r="C85" s="825" t="s">
        <v>173</v>
      </c>
      <c r="D85" s="825">
        <v>20013</v>
      </c>
      <c r="E85" s="825">
        <v>2015</v>
      </c>
      <c r="F85" s="826" t="s">
        <v>164</v>
      </c>
      <c r="G85" s="827"/>
      <c r="H85" s="828"/>
      <c r="I85" s="632">
        <f>SUM(I86:I87)</f>
        <v>1256950</v>
      </c>
      <c r="J85" s="633">
        <f aca="true" t="shared" si="17" ref="J85:P85">SUM(J86:J87)</f>
        <v>0</v>
      </c>
      <c r="K85" s="633">
        <f t="shared" si="17"/>
        <v>0</v>
      </c>
      <c r="L85" s="633">
        <f t="shared" si="17"/>
        <v>0</v>
      </c>
      <c r="M85" s="632">
        <f>SUM(M86:M87)</f>
        <v>1044950</v>
      </c>
      <c r="N85" s="632">
        <f t="shared" si="17"/>
        <v>166000</v>
      </c>
      <c r="O85" s="632">
        <f t="shared" si="17"/>
        <v>46000</v>
      </c>
      <c r="P85" s="132">
        <f t="shared" si="17"/>
        <v>0</v>
      </c>
      <c r="Q85" s="560"/>
      <c r="R85" s="440">
        <f t="shared" si="15"/>
        <v>1256950</v>
      </c>
    </row>
    <row r="86" spans="1:18" s="33" customFormat="1" ht="23.25" customHeight="1">
      <c r="A86" s="808"/>
      <c r="B86" s="786"/>
      <c r="C86" s="786"/>
      <c r="D86" s="786"/>
      <c r="E86" s="786"/>
      <c r="F86" s="792">
        <v>720</v>
      </c>
      <c r="G86" s="792">
        <v>72095</v>
      </c>
      <c r="H86" s="43">
        <v>6057</v>
      </c>
      <c r="I86" s="43">
        <f>R86</f>
        <v>1068407</v>
      </c>
      <c r="J86" s="323"/>
      <c r="K86" s="323"/>
      <c r="L86" s="323">
        <f>J86+K86</f>
        <v>0</v>
      </c>
      <c r="M86" s="43">
        <v>888207</v>
      </c>
      <c r="N86" s="43">
        <v>141100</v>
      </c>
      <c r="O86" s="43">
        <v>39100</v>
      </c>
      <c r="P86" s="43"/>
      <c r="Q86" s="575"/>
      <c r="R86" s="440">
        <f t="shared" si="15"/>
        <v>1068407</v>
      </c>
    </row>
    <row r="87" spans="1:18" s="33" customFormat="1" ht="22.5" customHeight="1">
      <c r="A87" s="808"/>
      <c r="B87" s="786"/>
      <c r="C87" s="786"/>
      <c r="D87" s="786"/>
      <c r="E87" s="786"/>
      <c r="F87" s="818"/>
      <c r="G87" s="818"/>
      <c r="H87" s="396">
        <v>6059</v>
      </c>
      <c r="I87" s="396">
        <f>R87</f>
        <v>188543</v>
      </c>
      <c r="J87" s="324"/>
      <c r="K87" s="324"/>
      <c r="L87" s="324">
        <f>J87+K87</f>
        <v>0</v>
      </c>
      <c r="M87" s="396">
        <v>156743</v>
      </c>
      <c r="N87" s="396">
        <v>24900</v>
      </c>
      <c r="O87" s="396">
        <v>6900</v>
      </c>
      <c r="P87" s="396"/>
      <c r="Q87" s="576"/>
      <c r="R87" s="440">
        <f t="shared" si="15"/>
        <v>188543</v>
      </c>
    </row>
    <row r="88" spans="1:18" s="33" customFormat="1" ht="26.25" customHeight="1">
      <c r="A88" s="823" t="s">
        <v>362</v>
      </c>
      <c r="B88" s="824" t="s">
        <v>395</v>
      </c>
      <c r="C88" s="825" t="s">
        <v>173</v>
      </c>
      <c r="D88" s="825">
        <v>2012</v>
      </c>
      <c r="E88" s="825">
        <v>2013</v>
      </c>
      <c r="F88" s="826" t="s">
        <v>164</v>
      </c>
      <c r="G88" s="827"/>
      <c r="H88" s="828"/>
      <c r="I88" s="632">
        <f>SUM(I89:I91)</f>
        <v>2093429</v>
      </c>
      <c r="J88" s="633">
        <f>SUM(J89:J91)</f>
        <v>7849</v>
      </c>
      <c r="K88" s="633">
        <f>SUM(K89:K91)</f>
        <v>0</v>
      </c>
      <c r="L88" s="633">
        <f>SUM(L89:L91)</f>
        <v>7849</v>
      </c>
      <c r="M88" s="634">
        <f>SUM(M89:M91)</f>
        <v>2085580</v>
      </c>
      <c r="N88" s="132">
        <f>SUM(N89:N90)</f>
        <v>0</v>
      </c>
      <c r="O88" s="132">
        <f>SUM(O89:O90)</f>
        <v>0</v>
      </c>
      <c r="P88" s="132">
        <f>SUM(P89:P90)</f>
        <v>0</v>
      </c>
      <c r="Q88" s="560"/>
      <c r="R88" s="440">
        <f t="shared" si="15"/>
        <v>2093429</v>
      </c>
    </row>
    <row r="89" spans="1:18" s="33" customFormat="1" ht="21" customHeight="1">
      <c r="A89" s="808"/>
      <c r="B89" s="786"/>
      <c r="C89" s="786"/>
      <c r="D89" s="786"/>
      <c r="E89" s="786"/>
      <c r="F89" s="792">
        <v>720</v>
      </c>
      <c r="G89" s="792">
        <v>72095</v>
      </c>
      <c r="H89" s="43">
        <v>6057</v>
      </c>
      <c r="I89" s="43">
        <f>R89</f>
        <v>1512503</v>
      </c>
      <c r="J89" s="323">
        <v>5670</v>
      </c>
      <c r="K89" s="323"/>
      <c r="L89" s="323">
        <f>J89+K89</f>
        <v>5670</v>
      </c>
      <c r="M89" s="43">
        <v>1506833</v>
      </c>
      <c r="N89" s="43"/>
      <c r="O89" s="43"/>
      <c r="P89" s="43"/>
      <c r="Q89" s="575"/>
      <c r="R89" s="440">
        <f>SUM(L89:M89)</f>
        <v>1512503</v>
      </c>
    </row>
    <row r="90" spans="1:18" s="33" customFormat="1" ht="21" customHeight="1">
      <c r="A90" s="808"/>
      <c r="B90" s="786"/>
      <c r="C90" s="786"/>
      <c r="D90" s="786"/>
      <c r="E90" s="786"/>
      <c r="F90" s="818"/>
      <c r="G90" s="818"/>
      <c r="H90" s="647" t="s">
        <v>396</v>
      </c>
      <c r="I90" s="396">
        <f>R90</f>
        <v>266912</v>
      </c>
      <c r="J90" s="324">
        <v>1001</v>
      </c>
      <c r="K90" s="324"/>
      <c r="L90" s="324">
        <f>J90+K90</f>
        <v>1001</v>
      </c>
      <c r="M90" s="43">
        <v>265911</v>
      </c>
      <c r="N90" s="43"/>
      <c r="O90" s="43"/>
      <c r="P90" s="43"/>
      <c r="Q90" s="575"/>
      <c r="R90" s="440">
        <f>SUM(L90:P90)</f>
        <v>266912</v>
      </c>
    </row>
    <row r="91" spans="1:18" s="33" customFormat="1" ht="21.75" customHeight="1">
      <c r="A91" s="809"/>
      <c r="B91" s="799"/>
      <c r="C91" s="799"/>
      <c r="D91" s="799"/>
      <c r="E91" s="799"/>
      <c r="F91" s="799"/>
      <c r="G91" s="799"/>
      <c r="H91" s="648" t="s">
        <v>397</v>
      </c>
      <c r="I91" s="472">
        <f>L91+M91</f>
        <v>314014</v>
      </c>
      <c r="J91" s="473">
        <v>1178</v>
      </c>
      <c r="K91" s="473"/>
      <c r="L91" s="473">
        <v>1178</v>
      </c>
      <c r="M91" s="472">
        <v>312836</v>
      </c>
      <c r="N91" s="472"/>
      <c r="O91" s="472"/>
      <c r="P91" s="472"/>
      <c r="Q91" s="577"/>
      <c r="R91" s="476">
        <f>SUM(L91:P91)</f>
        <v>314014</v>
      </c>
    </row>
    <row r="92" spans="1:18" s="33" customFormat="1" ht="61.5" customHeight="1">
      <c r="A92" s="651" t="s">
        <v>420</v>
      </c>
      <c r="B92" s="652" t="s">
        <v>439</v>
      </c>
      <c r="C92" s="494" t="s">
        <v>173</v>
      </c>
      <c r="D92" s="494">
        <v>2012</v>
      </c>
      <c r="E92" s="494">
        <v>2014</v>
      </c>
      <c r="F92" s="649">
        <v>750</v>
      </c>
      <c r="G92" s="649">
        <v>75095</v>
      </c>
      <c r="H92" s="649">
        <v>6639</v>
      </c>
      <c r="I92" s="649">
        <f>R92</f>
        <v>20662</v>
      </c>
      <c r="J92" s="524"/>
      <c r="K92" s="524">
        <v>4619</v>
      </c>
      <c r="L92" s="473">
        <f>J92+K92</f>
        <v>4619</v>
      </c>
      <c r="M92" s="650">
        <v>3774</v>
      </c>
      <c r="N92" s="650">
        <v>12269</v>
      </c>
      <c r="O92" s="649"/>
      <c r="P92" s="649"/>
      <c r="Q92" s="653"/>
      <c r="R92" s="476">
        <f>SUM(L92:P92)</f>
        <v>20662</v>
      </c>
    </row>
    <row r="93" spans="1:18" s="435" customFormat="1" ht="104.25" customHeight="1">
      <c r="A93" s="437" t="s">
        <v>191</v>
      </c>
      <c r="B93" s="406" t="s">
        <v>192</v>
      </c>
      <c r="C93" s="477"/>
      <c r="D93" s="407" t="s">
        <v>79</v>
      </c>
      <c r="E93" s="477" t="s">
        <v>79</v>
      </c>
      <c r="F93" s="477"/>
      <c r="G93" s="477"/>
      <c r="H93" s="477"/>
      <c r="I93" s="408">
        <f aca="true" t="shared" si="18" ref="I93:P93">I94</f>
        <v>63035624</v>
      </c>
      <c r="J93" s="409">
        <f t="shared" si="18"/>
        <v>15577598</v>
      </c>
      <c r="K93" s="409">
        <f t="shared" si="18"/>
        <v>0</v>
      </c>
      <c r="L93" s="409">
        <f t="shared" si="18"/>
        <v>15577598</v>
      </c>
      <c r="M93" s="408">
        <f t="shared" si="18"/>
        <v>16522944</v>
      </c>
      <c r="N93" s="408">
        <f t="shared" si="18"/>
        <v>17405518</v>
      </c>
      <c r="O93" s="408">
        <f t="shared" si="18"/>
        <v>9756800</v>
      </c>
      <c r="P93" s="408">
        <f t="shared" si="18"/>
        <v>4151000</v>
      </c>
      <c r="Q93" s="561"/>
      <c r="R93" s="481">
        <f>SUM(L93:P93)</f>
        <v>63413860</v>
      </c>
    </row>
    <row r="94" spans="1:19" s="29" customFormat="1" ht="25.5" customHeight="1">
      <c r="A94" s="439"/>
      <c r="B94" s="252" t="s">
        <v>153</v>
      </c>
      <c r="C94" s="405"/>
      <c r="D94" s="402" t="s">
        <v>79</v>
      </c>
      <c r="E94" s="155" t="s">
        <v>79</v>
      </c>
      <c r="F94" s="155"/>
      <c r="G94" s="155"/>
      <c r="H94" s="155"/>
      <c r="I94" s="436">
        <f aca="true" t="shared" si="19" ref="I94:P94">SUM(I95:I101,I102:I104,I105,I110:I120,I133:I136,I137:I163,I171,I178,I192,I196:I204)</f>
        <v>63035624</v>
      </c>
      <c r="J94" s="318">
        <f t="shared" si="19"/>
        <v>15577598</v>
      </c>
      <c r="K94" s="318">
        <f t="shared" si="19"/>
        <v>0</v>
      </c>
      <c r="L94" s="318">
        <f t="shared" si="19"/>
        <v>15577598</v>
      </c>
      <c r="M94" s="436">
        <f t="shared" si="19"/>
        <v>16522944</v>
      </c>
      <c r="N94" s="436">
        <f t="shared" si="19"/>
        <v>17405518</v>
      </c>
      <c r="O94" s="436">
        <f t="shared" si="19"/>
        <v>9756800</v>
      </c>
      <c r="P94" s="436">
        <f t="shared" si="19"/>
        <v>4151000</v>
      </c>
      <c r="Q94" s="436"/>
      <c r="R94" s="436">
        <f>SUM(R95:R101,R102:R104,R105,R110:R120,R133:R136,R137:R163,R171,R178,R192,R196:R204)</f>
        <v>63413860</v>
      </c>
      <c r="S94" s="239">
        <f>SUM(L94:P94)</f>
        <v>63413860</v>
      </c>
    </row>
    <row r="95" spans="1:19" ht="27" customHeight="1">
      <c r="A95" s="482" t="s">
        <v>156</v>
      </c>
      <c r="B95" s="253" t="s">
        <v>287</v>
      </c>
      <c r="C95" s="333" t="s">
        <v>173</v>
      </c>
      <c r="D95" s="402">
        <v>2012</v>
      </c>
      <c r="E95" s="402">
        <v>2016</v>
      </c>
      <c r="F95" s="402">
        <v>600</v>
      </c>
      <c r="G95" s="402">
        <v>60004</v>
      </c>
      <c r="H95" s="402">
        <v>2310</v>
      </c>
      <c r="I95" s="38">
        <v>3000000</v>
      </c>
      <c r="J95" s="323">
        <v>600000</v>
      </c>
      <c r="K95" s="323"/>
      <c r="L95" s="323">
        <f aca="true" t="shared" si="20" ref="L95:L101">J95+K95</f>
        <v>600000</v>
      </c>
      <c r="M95" s="38">
        <v>600000</v>
      </c>
      <c r="N95" s="38">
        <v>600000</v>
      </c>
      <c r="O95" s="38">
        <v>600000</v>
      </c>
      <c r="P95" s="38">
        <v>600000</v>
      </c>
      <c r="Q95" s="578"/>
      <c r="R95" s="440">
        <f aca="true" t="shared" si="21" ref="R95:R158">SUM(L95:P95)</f>
        <v>3000000</v>
      </c>
      <c r="S95" s="14">
        <f>R94-S94</f>
        <v>0</v>
      </c>
    </row>
    <row r="96" spans="1:19" ht="25.5" customHeight="1">
      <c r="A96" s="482" t="s">
        <v>113</v>
      </c>
      <c r="B96" s="253" t="s">
        <v>288</v>
      </c>
      <c r="C96" s="333" t="s">
        <v>173</v>
      </c>
      <c r="D96" s="402">
        <v>2012</v>
      </c>
      <c r="E96" s="402">
        <v>2016</v>
      </c>
      <c r="F96" s="402">
        <v>600</v>
      </c>
      <c r="G96" s="402">
        <v>60004</v>
      </c>
      <c r="H96" s="402">
        <v>2310</v>
      </c>
      <c r="I96" s="38">
        <f>R96</f>
        <v>5850000</v>
      </c>
      <c r="J96" s="323">
        <v>1170000</v>
      </c>
      <c r="K96" s="323"/>
      <c r="L96" s="323">
        <f t="shared" si="20"/>
        <v>1170000</v>
      </c>
      <c r="M96" s="38">
        <v>1170000</v>
      </c>
      <c r="N96" s="38">
        <v>1170000</v>
      </c>
      <c r="O96" s="38">
        <v>1170000</v>
      </c>
      <c r="P96" s="38">
        <v>1170000</v>
      </c>
      <c r="Q96" s="578"/>
      <c r="R96" s="440">
        <f t="shared" si="21"/>
        <v>5850000</v>
      </c>
      <c r="S96" s="14">
        <f>J94+K94</f>
        <v>15577598</v>
      </c>
    </row>
    <row r="97" spans="1:18" ht="25.5" customHeight="1">
      <c r="A97" s="482" t="s">
        <v>115</v>
      </c>
      <c r="B97" s="253" t="s">
        <v>351</v>
      </c>
      <c r="C97" s="333" t="s">
        <v>173</v>
      </c>
      <c r="D97" s="402">
        <v>2012</v>
      </c>
      <c r="E97" s="402">
        <v>2016</v>
      </c>
      <c r="F97" s="402">
        <v>600</v>
      </c>
      <c r="G97" s="402">
        <v>60004</v>
      </c>
      <c r="H97" s="402">
        <v>4300</v>
      </c>
      <c r="I97" s="38">
        <f>R97</f>
        <v>5256748</v>
      </c>
      <c r="J97" s="323">
        <v>766748</v>
      </c>
      <c r="K97" s="323"/>
      <c r="L97" s="323">
        <f t="shared" si="20"/>
        <v>766748</v>
      </c>
      <c r="M97" s="38">
        <v>980000</v>
      </c>
      <c r="N97" s="38">
        <v>1170000</v>
      </c>
      <c r="O97" s="38">
        <v>1170000</v>
      </c>
      <c r="P97" s="38">
        <v>1170000</v>
      </c>
      <c r="Q97" s="578"/>
      <c r="R97" s="440">
        <f t="shared" si="21"/>
        <v>5256748</v>
      </c>
    </row>
    <row r="98" spans="1:18" ht="21" customHeight="1">
      <c r="A98" s="482" t="s">
        <v>117</v>
      </c>
      <c r="B98" s="253" t="s">
        <v>241</v>
      </c>
      <c r="C98" s="333" t="s">
        <v>173</v>
      </c>
      <c r="D98" s="402">
        <v>2011</v>
      </c>
      <c r="E98" s="402">
        <v>2014</v>
      </c>
      <c r="F98" s="402">
        <v>600</v>
      </c>
      <c r="G98" s="402">
        <v>60016</v>
      </c>
      <c r="H98" s="402">
        <v>4270</v>
      </c>
      <c r="I98" s="38">
        <f>R98+200000</f>
        <v>9900000</v>
      </c>
      <c r="J98" s="323">
        <v>3700000</v>
      </c>
      <c r="K98" s="323"/>
      <c r="L98" s="323">
        <f t="shared" si="20"/>
        <v>3700000</v>
      </c>
      <c r="M98" s="38">
        <v>3000000</v>
      </c>
      <c r="N98" s="38">
        <v>3000000</v>
      </c>
      <c r="O98" s="38">
        <v>0</v>
      </c>
      <c r="P98" s="38">
        <v>0</v>
      </c>
      <c r="Q98" s="578"/>
      <c r="R98" s="440">
        <f t="shared" si="21"/>
        <v>9700000</v>
      </c>
    </row>
    <row r="99" spans="1:18" ht="27" customHeight="1">
      <c r="A99" s="482" t="s">
        <v>119</v>
      </c>
      <c r="B99" s="253" t="s">
        <v>246</v>
      </c>
      <c r="C99" s="333" t="s">
        <v>173</v>
      </c>
      <c r="D99" s="402">
        <v>2011</v>
      </c>
      <c r="E99" s="402">
        <v>2014</v>
      </c>
      <c r="F99" s="402">
        <v>600</v>
      </c>
      <c r="G99" s="402">
        <v>60016</v>
      </c>
      <c r="H99" s="402">
        <v>4300</v>
      </c>
      <c r="I99" s="38">
        <f>R99+100000</f>
        <v>1864000</v>
      </c>
      <c r="J99" s="323">
        <v>564000</v>
      </c>
      <c r="K99" s="323"/>
      <c r="L99" s="323">
        <f t="shared" si="20"/>
        <v>564000</v>
      </c>
      <c r="M99" s="38">
        <v>600000</v>
      </c>
      <c r="N99" s="38">
        <v>600000</v>
      </c>
      <c r="O99" s="38">
        <v>0</v>
      </c>
      <c r="P99" s="38">
        <v>0</v>
      </c>
      <c r="Q99" s="578"/>
      <c r="R99" s="440">
        <f t="shared" si="21"/>
        <v>1764000</v>
      </c>
    </row>
    <row r="100" spans="1:18" ht="54.75" customHeight="1">
      <c r="A100" s="482" t="s">
        <v>121</v>
      </c>
      <c r="B100" s="253" t="s">
        <v>228</v>
      </c>
      <c r="C100" s="400" t="s">
        <v>163</v>
      </c>
      <c r="D100" s="402">
        <v>2011</v>
      </c>
      <c r="E100" s="402">
        <v>2014</v>
      </c>
      <c r="F100" s="402">
        <v>600</v>
      </c>
      <c r="G100" s="402">
        <v>60016</v>
      </c>
      <c r="H100" s="402">
        <v>4300</v>
      </c>
      <c r="I100" s="38">
        <v>40626</v>
      </c>
      <c r="J100" s="323">
        <v>20313</v>
      </c>
      <c r="K100" s="323"/>
      <c r="L100" s="323">
        <f t="shared" si="20"/>
        <v>20313</v>
      </c>
      <c r="M100" s="38">
        <v>50000</v>
      </c>
      <c r="N100" s="38">
        <v>50000</v>
      </c>
      <c r="O100" s="38">
        <v>0</v>
      </c>
      <c r="P100" s="38">
        <v>0</v>
      </c>
      <c r="Q100" s="578"/>
      <c r="R100" s="440">
        <f t="shared" si="21"/>
        <v>120313</v>
      </c>
    </row>
    <row r="101" spans="1:18" ht="39" customHeight="1">
      <c r="A101" s="483" t="s">
        <v>123</v>
      </c>
      <c r="B101" s="484" t="s">
        <v>286</v>
      </c>
      <c r="C101" s="485" t="s">
        <v>163</v>
      </c>
      <c r="D101" s="485">
        <v>2012</v>
      </c>
      <c r="E101" s="485">
        <v>2016</v>
      </c>
      <c r="F101" s="485">
        <v>600</v>
      </c>
      <c r="G101" s="485">
        <v>60016</v>
      </c>
      <c r="H101" s="485">
        <v>4400</v>
      </c>
      <c r="I101" s="486">
        <f>R101</f>
        <v>61833</v>
      </c>
      <c r="J101" s="473">
        <v>1833</v>
      </c>
      <c r="K101" s="473"/>
      <c r="L101" s="473">
        <f t="shared" si="20"/>
        <v>1833</v>
      </c>
      <c r="M101" s="486">
        <v>15000</v>
      </c>
      <c r="N101" s="486">
        <v>15000</v>
      </c>
      <c r="O101" s="486">
        <v>15000</v>
      </c>
      <c r="P101" s="486">
        <v>15000</v>
      </c>
      <c r="Q101" s="579"/>
      <c r="R101" s="476">
        <f t="shared" si="21"/>
        <v>61833</v>
      </c>
    </row>
    <row r="102" spans="1:18" ht="21" customHeight="1">
      <c r="A102" s="482" t="s">
        <v>125</v>
      </c>
      <c r="B102" s="253" t="s">
        <v>289</v>
      </c>
      <c r="C102" s="333" t="s">
        <v>173</v>
      </c>
      <c r="D102" s="402">
        <v>2012</v>
      </c>
      <c r="E102" s="402">
        <v>2013</v>
      </c>
      <c r="F102" s="402">
        <v>700</v>
      </c>
      <c r="G102" s="402">
        <v>70005</v>
      </c>
      <c r="H102" s="402">
        <v>4300</v>
      </c>
      <c r="I102" s="38">
        <f>R102</f>
        <v>2583</v>
      </c>
      <c r="J102" s="323">
        <v>1476</v>
      </c>
      <c r="K102" s="323"/>
      <c r="L102" s="323">
        <f>J102+K102</f>
        <v>1476</v>
      </c>
      <c r="M102" s="38">
        <v>1107</v>
      </c>
      <c r="N102" s="38">
        <v>0</v>
      </c>
      <c r="O102" s="38">
        <v>0</v>
      </c>
      <c r="P102" s="38">
        <v>0</v>
      </c>
      <c r="Q102" s="578"/>
      <c r="R102" s="440">
        <f t="shared" si="21"/>
        <v>2583</v>
      </c>
    </row>
    <row r="103" spans="1:18" ht="36.75" customHeight="1">
      <c r="A103" s="482" t="s">
        <v>127</v>
      </c>
      <c r="B103" s="253" t="s">
        <v>227</v>
      </c>
      <c r="C103" s="333" t="s">
        <v>173</v>
      </c>
      <c r="D103" s="402">
        <v>2011</v>
      </c>
      <c r="E103" s="402">
        <v>2012</v>
      </c>
      <c r="F103" s="402">
        <v>700</v>
      </c>
      <c r="G103" s="402">
        <v>70005</v>
      </c>
      <c r="H103" s="402">
        <v>4300</v>
      </c>
      <c r="I103" s="38">
        <v>28306</v>
      </c>
      <c r="J103" s="323">
        <v>14153</v>
      </c>
      <c r="K103" s="323"/>
      <c r="L103" s="323">
        <f>J103+K103</f>
        <v>14153</v>
      </c>
      <c r="M103" s="38">
        <v>0</v>
      </c>
      <c r="N103" s="38">
        <v>0</v>
      </c>
      <c r="O103" s="38">
        <v>0</v>
      </c>
      <c r="P103" s="38">
        <v>0</v>
      </c>
      <c r="Q103" s="578"/>
      <c r="R103" s="440">
        <f t="shared" si="21"/>
        <v>14153</v>
      </c>
    </row>
    <row r="104" spans="1:18" ht="21.75" customHeight="1">
      <c r="A104" s="483" t="s">
        <v>130</v>
      </c>
      <c r="B104" s="484" t="s">
        <v>339</v>
      </c>
      <c r="C104" s="454" t="s">
        <v>256</v>
      </c>
      <c r="D104" s="485">
        <v>2011</v>
      </c>
      <c r="E104" s="485">
        <v>2016</v>
      </c>
      <c r="F104" s="485">
        <v>700</v>
      </c>
      <c r="G104" s="485">
        <v>70005</v>
      </c>
      <c r="H104" s="485">
        <v>4300</v>
      </c>
      <c r="I104" s="486">
        <f>R104</f>
        <v>420000</v>
      </c>
      <c r="J104" s="473">
        <v>20000</v>
      </c>
      <c r="K104" s="473"/>
      <c r="L104" s="473">
        <f>J104+K104</f>
        <v>20000</v>
      </c>
      <c r="M104" s="486">
        <v>100000</v>
      </c>
      <c r="N104" s="486">
        <v>100000</v>
      </c>
      <c r="O104" s="486">
        <v>100000</v>
      </c>
      <c r="P104" s="486">
        <v>100000</v>
      </c>
      <c r="Q104" s="579"/>
      <c r="R104" s="476">
        <f t="shared" si="21"/>
        <v>420000</v>
      </c>
    </row>
    <row r="105" spans="1:18" ht="21.75" customHeight="1">
      <c r="A105" s="782" t="s">
        <v>134</v>
      </c>
      <c r="B105" s="785" t="s">
        <v>402</v>
      </c>
      <c r="C105" s="788" t="s">
        <v>336</v>
      </c>
      <c r="D105" s="788">
        <v>2012</v>
      </c>
      <c r="E105" s="788">
        <v>2013</v>
      </c>
      <c r="F105" s="789" t="s">
        <v>164</v>
      </c>
      <c r="G105" s="790"/>
      <c r="H105" s="791"/>
      <c r="I105" s="655">
        <f>SUM(I106:I107)</f>
        <v>619920</v>
      </c>
      <c r="J105" s="656">
        <f>SUM(J106:J107)</f>
        <v>61500</v>
      </c>
      <c r="K105" s="656">
        <f aca="true" t="shared" si="22" ref="K105:R105">SUM(K106:K107)</f>
        <v>0</v>
      </c>
      <c r="L105" s="656">
        <f t="shared" si="22"/>
        <v>61500</v>
      </c>
      <c r="M105" s="655">
        <f t="shared" si="22"/>
        <v>558420</v>
      </c>
      <c r="N105" s="655">
        <f t="shared" si="22"/>
        <v>0</v>
      </c>
      <c r="O105" s="655">
        <f t="shared" si="22"/>
        <v>0</v>
      </c>
      <c r="P105" s="655">
        <f t="shared" si="22"/>
        <v>0</v>
      </c>
      <c r="Q105" s="657"/>
      <c r="R105" s="658">
        <f t="shared" si="22"/>
        <v>619920</v>
      </c>
    </row>
    <row r="106" spans="1:18" ht="21.75" customHeight="1">
      <c r="A106" s="783"/>
      <c r="B106" s="786"/>
      <c r="C106" s="786"/>
      <c r="D106" s="786"/>
      <c r="E106" s="786"/>
      <c r="F106" s="792">
        <v>700</v>
      </c>
      <c r="G106" s="792">
        <v>70005</v>
      </c>
      <c r="H106" s="43">
        <v>4307</v>
      </c>
      <c r="I106" s="43">
        <f>R106</f>
        <v>428400</v>
      </c>
      <c r="J106" s="323">
        <v>42500</v>
      </c>
      <c r="K106" s="318"/>
      <c r="L106" s="323">
        <f aca="true" t="shared" si="23" ref="L106:L119">J106+K106</f>
        <v>42500</v>
      </c>
      <c r="M106" s="43">
        <v>385900</v>
      </c>
      <c r="N106" s="43"/>
      <c r="O106" s="43"/>
      <c r="P106" s="43"/>
      <c r="Q106" s="575"/>
      <c r="R106" s="440">
        <f>SUM(L106:P106)</f>
        <v>428400</v>
      </c>
    </row>
    <row r="107" spans="1:18" ht="21.75" customHeight="1">
      <c r="A107" s="784"/>
      <c r="B107" s="787"/>
      <c r="C107" s="787"/>
      <c r="D107" s="787"/>
      <c r="E107" s="787"/>
      <c r="F107" s="793"/>
      <c r="G107" s="793"/>
      <c r="H107" s="43">
        <v>4309</v>
      </c>
      <c r="I107" s="43">
        <f>R107</f>
        <v>191520</v>
      </c>
      <c r="J107" s="323">
        <v>19000</v>
      </c>
      <c r="K107" s="323"/>
      <c r="L107" s="323">
        <f t="shared" si="23"/>
        <v>19000</v>
      </c>
      <c r="M107" s="43">
        <v>172520</v>
      </c>
      <c r="N107" s="43"/>
      <c r="O107" s="43"/>
      <c r="P107" s="43"/>
      <c r="Q107" s="575"/>
      <c r="R107" s="440">
        <f>SUM(L107:P107)</f>
        <v>191520</v>
      </c>
    </row>
    <row r="108" spans="1:18" ht="33.75" customHeight="1">
      <c r="A108" s="514" t="s">
        <v>136</v>
      </c>
      <c r="B108" s="253" t="s">
        <v>292</v>
      </c>
      <c r="C108" s="333" t="s">
        <v>173</v>
      </c>
      <c r="D108" s="402">
        <v>2012</v>
      </c>
      <c r="E108" s="402">
        <v>2016</v>
      </c>
      <c r="F108" s="402">
        <v>700</v>
      </c>
      <c r="G108" s="402">
        <v>70005</v>
      </c>
      <c r="H108" s="402">
        <v>4400</v>
      </c>
      <c r="I108" s="38">
        <f>R108</f>
        <v>92255</v>
      </c>
      <c r="J108" s="323">
        <v>17555</v>
      </c>
      <c r="K108" s="324"/>
      <c r="L108" s="323">
        <f t="shared" si="23"/>
        <v>17555</v>
      </c>
      <c r="M108" s="38">
        <v>18100</v>
      </c>
      <c r="N108" s="38">
        <v>18600</v>
      </c>
      <c r="O108" s="38">
        <v>19000</v>
      </c>
      <c r="P108" s="38">
        <v>19000</v>
      </c>
      <c r="Q108" s="578"/>
      <c r="R108" s="440">
        <f>SUM(L108:P108)</f>
        <v>92255</v>
      </c>
    </row>
    <row r="109" spans="1:18" ht="29.25" customHeight="1">
      <c r="A109" s="514" t="s">
        <v>138</v>
      </c>
      <c r="B109" s="253" t="s">
        <v>198</v>
      </c>
      <c r="C109" s="333" t="s">
        <v>197</v>
      </c>
      <c r="D109" s="402">
        <v>2011</v>
      </c>
      <c r="E109" s="402">
        <v>2013</v>
      </c>
      <c r="F109" s="402">
        <v>700</v>
      </c>
      <c r="G109" s="402">
        <v>70005</v>
      </c>
      <c r="H109" s="402">
        <v>4400</v>
      </c>
      <c r="I109" s="38">
        <v>9000</v>
      </c>
      <c r="J109" s="323">
        <v>3600</v>
      </c>
      <c r="K109" s="323"/>
      <c r="L109" s="323">
        <f t="shared" si="23"/>
        <v>3600</v>
      </c>
      <c r="M109" s="402">
        <v>1800</v>
      </c>
      <c r="N109" s="38">
        <v>0</v>
      </c>
      <c r="O109" s="38">
        <v>0</v>
      </c>
      <c r="P109" s="38">
        <v>0</v>
      </c>
      <c r="Q109" s="578"/>
      <c r="R109" s="440">
        <f>SUM(L109:P109)</f>
        <v>5400</v>
      </c>
    </row>
    <row r="110" spans="1:18" ht="31.5" customHeight="1">
      <c r="A110" s="514" t="s">
        <v>139</v>
      </c>
      <c r="B110" s="253" t="s">
        <v>193</v>
      </c>
      <c r="C110" s="333" t="s">
        <v>173</v>
      </c>
      <c r="D110" s="402">
        <v>2011</v>
      </c>
      <c r="E110" s="402">
        <v>2012</v>
      </c>
      <c r="F110" s="402">
        <v>700</v>
      </c>
      <c r="G110" s="402">
        <v>70005</v>
      </c>
      <c r="H110" s="402">
        <v>4400</v>
      </c>
      <c r="I110" s="38">
        <v>44344</v>
      </c>
      <c r="J110" s="323">
        <v>22172</v>
      </c>
      <c r="K110" s="323"/>
      <c r="L110" s="323">
        <f t="shared" si="23"/>
        <v>22172</v>
      </c>
      <c r="M110" s="38">
        <v>0</v>
      </c>
      <c r="N110" s="38">
        <v>0</v>
      </c>
      <c r="O110" s="38">
        <v>0</v>
      </c>
      <c r="P110" s="38">
        <v>0</v>
      </c>
      <c r="Q110" s="578"/>
      <c r="R110" s="440">
        <f t="shared" si="21"/>
        <v>22172</v>
      </c>
    </row>
    <row r="111" spans="1:18" ht="31.5" customHeight="1">
      <c r="A111" s="514" t="s">
        <v>201</v>
      </c>
      <c r="B111" s="253" t="s">
        <v>413</v>
      </c>
      <c r="C111" s="333" t="s">
        <v>336</v>
      </c>
      <c r="D111" s="402">
        <v>2012</v>
      </c>
      <c r="E111" s="402">
        <v>2013</v>
      </c>
      <c r="F111" s="402">
        <v>700</v>
      </c>
      <c r="G111" s="402">
        <v>70005</v>
      </c>
      <c r="H111" s="402">
        <v>4400</v>
      </c>
      <c r="I111" s="38">
        <f>R111</f>
        <v>220000</v>
      </c>
      <c r="J111" s="323">
        <v>140000</v>
      </c>
      <c r="K111" s="323"/>
      <c r="L111" s="323">
        <f t="shared" si="23"/>
        <v>140000</v>
      </c>
      <c r="M111" s="308">
        <v>80000</v>
      </c>
      <c r="N111" s="308"/>
      <c r="O111" s="308"/>
      <c r="P111" s="38"/>
      <c r="Q111" s="578"/>
      <c r="R111" s="440">
        <f>SUM(L111:P111)</f>
        <v>220000</v>
      </c>
    </row>
    <row r="112" spans="1:18" ht="51.75" customHeight="1">
      <c r="A112" s="514" t="s">
        <v>251</v>
      </c>
      <c r="B112" s="253" t="s">
        <v>229</v>
      </c>
      <c r="C112" s="333" t="s">
        <v>197</v>
      </c>
      <c r="D112" s="402">
        <v>2011</v>
      </c>
      <c r="E112" s="402">
        <v>2014</v>
      </c>
      <c r="F112" s="402">
        <v>700</v>
      </c>
      <c r="G112" s="402">
        <v>70005</v>
      </c>
      <c r="H112" s="402">
        <v>4400</v>
      </c>
      <c r="I112" s="38">
        <v>252000</v>
      </c>
      <c r="J112" s="323">
        <v>108000</v>
      </c>
      <c r="K112" s="323"/>
      <c r="L112" s="323">
        <f t="shared" si="23"/>
        <v>108000</v>
      </c>
      <c r="M112" s="38">
        <v>36000</v>
      </c>
      <c r="N112" s="38">
        <v>36000</v>
      </c>
      <c r="O112" s="38">
        <v>0</v>
      </c>
      <c r="P112" s="38">
        <v>0</v>
      </c>
      <c r="Q112" s="578"/>
      <c r="R112" s="440">
        <f t="shared" si="21"/>
        <v>180000</v>
      </c>
    </row>
    <row r="113" spans="1:18" ht="29.25" customHeight="1">
      <c r="A113" s="514" t="s">
        <v>252</v>
      </c>
      <c r="B113" s="253" t="s">
        <v>285</v>
      </c>
      <c r="C113" s="333" t="s">
        <v>197</v>
      </c>
      <c r="D113" s="402">
        <v>2012</v>
      </c>
      <c r="E113" s="402">
        <v>2016</v>
      </c>
      <c r="F113" s="402">
        <v>700</v>
      </c>
      <c r="G113" s="402">
        <v>70005</v>
      </c>
      <c r="H113" s="402">
        <v>4400</v>
      </c>
      <c r="I113" s="38">
        <f>R113</f>
        <v>1738937</v>
      </c>
      <c r="J113" s="323">
        <v>385937</v>
      </c>
      <c r="K113" s="323"/>
      <c r="L113" s="323">
        <f t="shared" si="23"/>
        <v>385937</v>
      </c>
      <c r="M113" s="38">
        <v>369000</v>
      </c>
      <c r="N113" s="38">
        <v>369000</v>
      </c>
      <c r="O113" s="38">
        <v>369000</v>
      </c>
      <c r="P113" s="38">
        <v>246000</v>
      </c>
      <c r="Q113" s="578"/>
      <c r="R113" s="440">
        <f>SUM(L113:P113)</f>
        <v>1738937</v>
      </c>
    </row>
    <row r="114" spans="1:18" ht="29.25" customHeight="1">
      <c r="A114" s="514" t="s">
        <v>253</v>
      </c>
      <c r="B114" s="253" t="s">
        <v>280</v>
      </c>
      <c r="C114" s="333" t="s">
        <v>173</v>
      </c>
      <c r="D114" s="402">
        <v>2011</v>
      </c>
      <c r="E114" s="402">
        <v>2014</v>
      </c>
      <c r="F114" s="402">
        <v>700</v>
      </c>
      <c r="G114" s="402">
        <v>70005</v>
      </c>
      <c r="H114" s="402">
        <v>4400</v>
      </c>
      <c r="I114" s="38">
        <v>73800</v>
      </c>
      <c r="J114" s="323">
        <v>67650</v>
      </c>
      <c r="K114" s="323"/>
      <c r="L114" s="323">
        <f t="shared" si="23"/>
        <v>67650</v>
      </c>
      <c r="M114" s="38">
        <v>75000</v>
      </c>
      <c r="N114" s="38">
        <v>75000</v>
      </c>
      <c r="O114" s="38"/>
      <c r="P114" s="38"/>
      <c r="Q114" s="578"/>
      <c r="R114" s="440">
        <f>SUM(L114:P114)</f>
        <v>217650</v>
      </c>
    </row>
    <row r="115" spans="1:18" ht="29.25" customHeight="1">
      <c r="A115" s="482" t="s">
        <v>254</v>
      </c>
      <c r="B115" s="253" t="s">
        <v>325</v>
      </c>
      <c r="C115" s="333" t="s">
        <v>173</v>
      </c>
      <c r="D115" s="402">
        <v>2011</v>
      </c>
      <c r="E115" s="402">
        <v>2014</v>
      </c>
      <c r="F115" s="402">
        <v>700</v>
      </c>
      <c r="G115" s="402">
        <v>70005</v>
      </c>
      <c r="H115" s="402">
        <v>4400</v>
      </c>
      <c r="I115" s="38">
        <f>R115</f>
        <v>574656</v>
      </c>
      <c r="J115" s="323">
        <v>182028</v>
      </c>
      <c r="K115" s="323"/>
      <c r="L115" s="323">
        <f t="shared" si="23"/>
        <v>182028</v>
      </c>
      <c r="M115" s="308">
        <v>208854</v>
      </c>
      <c r="N115" s="308">
        <v>183774</v>
      </c>
      <c r="O115" s="308"/>
      <c r="P115" s="38"/>
      <c r="Q115" s="578"/>
      <c r="R115" s="440">
        <f t="shared" si="21"/>
        <v>574656</v>
      </c>
    </row>
    <row r="116" spans="1:18" ht="29.25" customHeight="1">
      <c r="A116" s="482" t="s">
        <v>255</v>
      </c>
      <c r="B116" s="253" t="s">
        <v>369</v>
      </c>
      <c r="C116" s="333" t="s">
        <v>197</v>
      </c>
      <c r="D116" s="402">
        <v>2012</v>
      </c>
      <c r="E116" s="402">
        <v>2014</v>
      </c>
      <c r="F116" s="402">
        <v>700</v>
      </c>
      <c r="G116" s="402">
        <v>70005</v>
      </c>
      <c r="H116" s="402">
        <v>4400</v>
      </c>
      <c r="I116" s="38">
        <f>R116</f>
        <v>7200</v>
      </c>
      <c r="J116" s="323">
        <v>3600</v>
      </c>
      <c r="K116" s="323"/>
      <c r="L116" s="323">
        <f t="shared" si="23"/>
        <v>3600</v>
      </c>
      <c r="M116" s="402">
        <v>1800</v>
      </c>
      <c r="N116" s="38">
        <v>1800</v>
      </c>
      <c r="O116" s="38">
        <v>0</v>
      </c>
      <c r="P116" s="38">
        <v>0</v>
      </c>
      <c r="Q116" s="578"/>
      <c r="R116" s="440">
        <f>SUM(L116:P116)</f>
        <v>7200</v>
      </c>
    </row>
    <row r="117" spans="1:18" ht="19.5" customHeight="1">
      <c r="A117" s="482" t="s">
        <v>407</v>
      </c>
      <c r="B117" s="253" t="s">
        <v>403</v>
      </c>
      <c r="C117" s="333" t="s">
        <v>173</v>
      </c>
      <c r="D117" s="402">
        <v>2011</v>
      </c>
      <c r="E117" s="402">
        <v>2014</v>
      </c>
      <c r="F117" s="402">
        <v>700</v>
      </c>
      <c r="G117" s="402">
        <v>70005</v>
      </c>
      <c r="H117" s="402">
        <v>4400</v>
      </c>
      <c r="I117" s="38">
        <f>R117</f>
        <v>64000</v>
      </c>
      <c r="J117" s="323">
        <v>24000</v>
      </c>
      <c r="K117" s="323"/>
      <c r="L117" s="323">
        <f t="shared" si="23"/>
        <v>24000</v>
      </c>
      <c r="M117" s="308">
        <v>20000</v>
      </c>
      <c r="N117" s="308">
        <v>20000</v>
      </c>
      <c r="O117" s="308"/>
      <c r="P117" s="38"/>
      <c r="Q117" s="578"/>
      <c r="R117" s="440">
        <f>SUM(L117:P117)</f>
        <v>64000</v>
      </c>
    </row>
    <row r="118" spans="1:18" ht="21" customHeight="1">
      <c r="A118" s="482" t="s">
        <v>267</v>
      </c>
      <c r="B118" s="253" t="s">
        <v>373</v>
      </c>
      <c r="C118" s="333" t="s">
        <v>197</v>
      </c>
      <c r="D118" s="402">
        <v>2012</v>
      </c>
      <c r="E118" s="402">
        <v>2014</v>
      </c>
      <c r="F118" s="402">
        <v>700</v>
      </c>
      <c r="G118" s="402">
        <v>70005</v>
      </c>
      <c r="H118" s="402">
        <v>4590</v>
      </c>
      <c r="I118" s="38">
        <f>R118</f>
        <v>4024338</v>
      </c>
      <c r="J118" s="323">
        <v>2824338</v>
      </c>
      <c r="K118" s="323"/>
      <c r="L118" s="323">
        <f t="shared" si="23"/>
        <v>2824338</v>
      </c>
      <c r="M118" s="308">
        <v>200000</v>
      </c>
      <c r="N118" s="308">
        <v>1000000</v>
      </c>
      <c r="O118" s="308"/>
      <c r="P118" s="38"/>
      <c r="Q118" s="578"/>
      <c r="R118" s="440">
        <f>SUM(L118:P118)</f>
        <v>4024338</v>
      </c>
    </row>
    <row r="119" spans="1:21" ht="21.75" customHeight="1">
      <c r="A119" s="482" t="s">
        <v>268</v>
      </c>
      <c r="B119" s="310" t="s">
        <v>274</v>
      </c>
      <c r="C119" s="333" t="s">
        <v>275</v>
      </c>
      <c r="D119" s="402">
        <v>2011</v>
      </c>
      <c r="E119" s="402">
        <v>2016</v>
      </c>
      <c r="F119" s="402">
        <v>710</v>
      </c>
      <c r="G119" s="402">
        <v>71004</v>
      </c>
      <c r="H119" s="402">
        <v>4300</v>
      </c>
      <c r="I119" s="38">
        <f>R119+101993</f>
        <v>1621185</v>
      </c>
      <c r="J119" s="323">
        <v>399192</v>
      </c>
      <c r="K119" s="323"/>
      <c r="L119" s="323">
        <f t="shared" si="23"/>
        <v>399192</v>
      </c>
      <c r="M119" s="38">
        <v>280000</v>
      </c>
      <c r="N119" s="38">
        <v>280000</v>
      </c>
      <c r="O119" s="38">
        <v>280000</v>
      </c>
      <c r="P119" s="38">
        <v>280000</v>
      </c>
      <c r="Q119" s="578"/>
      <c r="R119" s="440">
        <f t="shared" si="21"/>
        <v>1519192</v>
      </c>
      <c r="S119" s="488">
        <v>280000</v>
      </c>
      <c r="T119" s="38"/>
      <c r="U119" s="131">
        <f>SUM(N119:S119)</f>
        <v>2639192</v>
      </c>
    </row>
    <row r="120" spans="1:21" ht="26.25" customHeight="1">
      <c r="A120" s="869" t="s">
        <v>272</v>
      </c>
      <c r="B120" s="824" t="s">
        <v>385</v>
      </c>
      <c r="C120" s="825"/>
      <c r="D120" s="857"/>
      <c r="E120" s="857">
        <v>2013</v>
      </c>
      <c r="F120" s="857">
        <v>720</v>
      </c>
      <c r="G120" s="857">
        <v>72095</v>
      </c>
      <c r="H120" s="155" t="s">
        <v>164</v>
      </c>
      <c r="I120" s="130">
        <f>M120</f>
        <v>90854</v>
      </c>
      <c r="J120" s="318"/>
      <c r="K120" s="318"/>
      <c r="L120" s="520"/>
      <c r="M120" s="130">
        <f>SUM(M121:M132)</f>
        <v>90854</v>
      </c>
      <c r="N120" s="38"/>
      <c r="O120" s="38"/>
      <c r="P120" s="38"/>
      <c r="Q120" s="578"/>
      <c r="R120" s="440">
        <f>M120</f>
        <v>90854</v>
      </c>
      <c r="S120" s="311"/>
      <c r="T120" s="311"/>
      <c r="U120" s="258"/>
    </row>
    <row r="121" spans="1:21" ht="18.75" customHeight="1">
      <c r="A121" s="783"/>
      <c r="B121" s="870"/>
      <c r="C121" s="811"/>
      <c r="D121" s="798"/>
      <c r="E121" s="798"/>
      <c r="F121" s="798"/>
      <c r="G121" s="798"/>
      <c r="H121" s="402">
        <v>4117</v>
      </c>
      <c r="I121" s="38"/>
      <c r="J121" s="323"/>
      <c r="K121" s="323"/>
      <c r="L121" s="521"/>
      <c r="M121" s="38">
        <v>3068</v>
      </c>
      <c r="N121" s="38"/>
      <c r="O121" s="38"/>
      <c r="P121" s="38"/>
      <c r="Q121" s="578"/>
      <c r="R121" s="440">
        <f aca="true" t="shared" si="24" ref="R121:R132">M121</f>
        <v>3068</v>
      </c>
      <c r="S121" s="311"/>
      <c r="T121" s="311"/>
      <c r="U121" s="258"/>
    </row>
    <row r="122" spans="1:21" ht="18" customHeight="1">
      <c r="A122" s="783"/>
      <c r="B122" s="870"/>
      <c r="C122" s="811"/>
      <c r="D122" s="798"/>
      <c r="E122" s="798"/>
      <c r="F122" s="798"/>
      <c r="G122" s="798"/>
      <c r="H122" s="402" t="s">
        <v>386</v>
      </c>
      <c r="I122" s="38"/>
      <c r="J122" s="323"/>
      <c r="K122" s="323"/>
      <c r="L122" s="521"/>
      <c r="M122" s="38">
        <v>542</v>
      </c>
      <c r="N122" s="38"/>
      <c r="O122" s="38"/>
      <c r="P122" s="38"/>
      <c r="Q122" s="578"/>
      <c r="R122" s="440">
        <f t="shared" si="24"/>
        <v>542</v>
      </c>
      <c r="S122" s="311"/>
      <c r="T122" s="311"/>
      <c r="U122" s="258"/>
    </row>
    <row r="123" spans="1:21" ht="15.75" customHeight="1">
      <c r="A123" s="783"/>
      <c r="B123" s="870"/>
      <c r="C123" s="811"/>
      <c r="D123" s="798"/>
      <c r="E123" s="798"/>
      <c r="F123" s="798"/>
      <c r="G123" s="798"/>
      <c r="H123" s="402" t="s">
        <v>387</v>
      </c>
      <c r="I123" s="38"/>
      <c r="J123" s="323"/>
      <c r="K123" s="323"/>
      <c r="L123" s="521"/>
      <c r="M123" s="38">
        <v>637</v>
      </c>
      <c r="N123" s="38"/>
      <c r="O123" s="38"/>
      <c r="P123" s="38"/>
      <c r="Q123" s="578"/>
      <c r="R123" s="440">
        <f t="shared" si="24"/>
        <v>637</v>
      </c>
      <c r="S123" s="311"/>
      <c r="T123" s="311"/>
      <c r="U123" s="258"/>
    </row>
    <row r="124" spans="1:21" ht="15.75" customHeight="1">
      <c r="A124" s="783"/>
      <c r="B124" s="870"/>
      <c r="C124" s="811"/>
      <c r="D124" s="798"/>
      <c r="E124" s="798"/>
      <c r="F124" s="798"/>
      <c r="G124" s="798"/>
      <c r="H124" s="402">
        <v>4127</v>
      </c>
      <c r="I124" s="38"/>
      <c r="J124" s="323"/>
      <c r="K124" s="323"/>
      <c r="L124" s="521"/>
      <c r="M124" s="38">
        <v>594</v>
      </c>
      <c r="N124" s="38"/>
      <c r="O124" s="38"/>
      <c r="P124" s="38"/>
      <c r="Q124" s="578"/>
      <c r="R124" s="440">
        <f t="shared" si="24"/>
        <v>594</v>
      </c>
      <c r="S124" s="311"/>
      <c r="T124" s="311"/>
      <c r="U124" s="258"/>
    </row>
    <row r="125" spans="1:21" ht="15.75" customHeight="1">
      <c r="A125" s="783"/>
      <c r="B125" s="870"/>
      <c r="C125" s="811"/>
      <c r="D125" s="798"/>
      <c r="E125" s="798"/>
      <c r="F125" s="798"/>
      <c r="G125" s="798"/>
      <c r="H125" s="402" t="s">
        <v>388</v>
      </c>
      <c r="I125" s="38"/>
      <c r="J125" s="323"/>
      <c r="K125" s="323"/>
      <c r="L125" s="521"/>
      <c r="M125" s="38">
        <v>105</v>
      </c>
      <c r="N125" s="38"/>
      <c r="O125" s="38"/>
      <c r="P125" s="38"/>
      <c r="Q125" s="578"/>
      <c r="R125" s="440">
        <f t="shared" si="24"/>
        <v>105</v>
      </c>
      <c r="S125" s="311"/>
      <c r="T125" s="311"/>
      <c r="U125" s="258"/>
    </row>
    <row r="126" spans="1:21" ht="18" customHeight="1">
      <c r="A126" s="783"/>
      <c r="B126" s="870"/>
      <c r="C126" s="811"/>
      <c r="D126" s="798"/>
      <c r="E126" s="798"/>
      <c r="F126" s="798"/>
      <c r="G126" s="798"/>
      <c r="H126" s="402" t="s">
        <v>389</v>
      </c>
      <c r="I126" s="38"/>
      <c r="J126" s="323"/>
      <c r="K126" s="323"/>
      <c r="L126" s="521"/>
      <c r="M126" s="38">
        <v>123</v>
      </c>
      <c r="N126" s="38"/>
      <c r="O126" s="38"/>
      <c r="P126" s="38"/>
      <c r="Q126" s="578"/>
      <c r="R126" s="440">
        <f t="shared" si="24"/>
        <v>123</v>
      </c>
      <c r="S126" s="311"/>
      <c r="T126" s="311"/>
      <c r="U126" s="258"/>
    </row>
    <row r="127" spans="1:21" ht="17.25" customHeight="1">
      <c r="A127" s="783"/>
      <c r="B127" s="870"/>
      <c r="C127" s="811"/>
      <c r="D127" s="798"/>
      <c r="E127" s="798"/>
      <c r="F127" s="798"/>
      <c r="G127" s="798"/>
      <c r="H127" s="402">
        <v>4177</v>
      </c>
      <c r="I127" s="38"/>
      <c r="J127" s="323"/>
      <c r="K127" s="323"/>
      <c r="L127" s="521"/>
      <c r="M127" s="38">
        <v>17494</v>
      </c>
      <c r="N127" s="38"/>
      <c r="O127" s="38"/>
      <c r="P127" s="38"/>
      <c r="Q127" s="578"/>
      <c r="R127" s="440">
        <f t="shared" si="24"/>
        <v>17494</v>
      </c>
      <c r="S127" s="311"/>
      <c r="T127" s="311"/>
      <c r="U127" s="258"/>
    </row>
    <row r="128" spans="1:21" ht="18" customHeight="1">
      <c r="A128" s="783"/>
      <c r="B128" s="870"/>
      <c r="C128" s="811"/>
      <c r="D128" s="798"/>
      <c r="E128" s="798"/>
      <c r="F128" s="798"/>
      <c r="G128" s="798"/>
      <c r="H128" s="402" t="s">
        <v>390</v>
      </c>
      <c r="I128" s="38"/>
      <c r="J128" s="323"/>
      <c r="K128" s="323"/>
      <c r="L128" s="521"/>
      <c r="M128" s="38">
        <v>3087</v>
      </c>
      <c r="N128" s="38"/>
      <c r="O128" s="38"/>
      <c r="P128" s="38"/>
      <c r="Q128" s="578"/>
      <c r="R128" s="440">
        <f t="shared" si="24"/>
        <v>3087</v>
      </c>
      <c r="S128" s="311"/>
      <c r="T128" s="311"/>
      <c r="U128" s="258"/>
    </row>
    <row r="129" spans="1:21" ht="15.75" customHeight="1">
      <c r="A129" s="783"/>
      <c r="B129" s="870"/>
      <c r="C129" s="811"/>
      <c r="D129" s="798"/>
      <c r="E129" s="798"/>
      <c r="F129" s="798"/>
      <c r="G129" s="798"/>
      <c r="H129" s="402" t="s">
        <v>391</v>
      </c>
      <c r="I129" s="38"/>
      <c r="J129" s="323"/>
      <c r="K129" s="323"/>
      <c r="L129" s="521"/>
      <c r="M129" s="38">
        <v>3632</v>
      </c>
      <c r="N129" s="38"/>
      <c r="O129" s="38"/>
      <c r="P129" s="38"/>
      <c r="Q129" s="578"/>
      <c r="R129" s="440">
        <f t="shared" si="24"/>
        <v>3632</v>
      </c>
      <c r="S129" s="311"/>
      <c r="T129" s="311"/>
      <c r="U129" s="258"/>
    </row>
    <row r="130" spans="1:21" ht="17.25" customHeight="1">
      <c r="A130" s="783"/>
      <c r="B130" s="870"/>
      <c r="C130" s="811"/>
      <c r="D130" s="798"/>
      <c r="E130" s="798"/>
      <c r="F130" s="798"/>
      <c r="G130" s="798"/>
      <c r="H130" s="402">
        <v>4307</v>
      </c>
      <c r="I130" s="38"/>
      <c r="J130" s="323"/>
      <c r="K130" s="323"/>
      <c r="L130" s="521"/>
      <c r="M130" s="38">
        <v>44486</v>
      </c>
      <c r="N130" s="38"/>
      <c r="O130" s="38"/>
      <c r="P130" s="38"/>
      <c r="Q130" s="578"/>
      <c r="R130" s="440">
        <f t="shared" si="24"/>
        <v>44486</v>
      </c>
      <c r="S130" s="311"/>
      <c r="T130" s="311"/>
      <c r="U130" s="258"/>
    </row>
    <row r="131" spans="1:21" ht="15.75" customHeight="1">
      <c r="A131" s="783"/>
      <c r="B131" s="870"/>
      <c r="C131" s="811"/>
      <c r="D131" s="798"/>
      <c r="E131" s="798"/>
      <c r="F131" s="798"/>
      <c r="G131" s="798"/>
      <c r="H131" s="402" t="s">
        <v>392</v>
      </c>
      <c r="I131" s="38"/>
      <c r="J131" s="323"/>
      <c r="K131" s="323"/>
      <c r="L131" s="521"/>
      <c r="M131" s="38">
        <v>7850</v>
      </c>
      <c r="N131" s="38"/>
      <c r="O131" s="38"/>
      <c r="P131" s="38"/>
      <c r="Q131" s="578"/>
      <c r="R131" s="440">
        <f t="shared" si="24"/>
        <v>7850</v>
      </c>
      <c r="S131" s="311"/>
      <c r="T131" s="311"/>
      <c r="U131" s="258"/>
    </row>
    <row r="132" spans="1:21" ht="16.5" customHeight="1">
      <c r="A132" s="784"/>
      <c r="B132" s="871"/>
      <c r="C132" s="872"/>
      <c r="D132" s="858"/>
      <c r="E132" s="858"/>
      <c r="F132" s="858"/>
      <c r="G132" s="858"/>
      <c r="H132" s="402" t="s">
        <v>393</v>
      </c>
      <c r="I132" s="38"/>
      <c r="J132" s="323"/>
      <c r="K132" s="323"/>
      <c r="L132" s="521"/>
      <c r="M132" s="38">
        <v>9236</v>
      </c>
      <c r="N132" s="38"/>
      <c r="O132" s="38"/>
      <c r="P132" s="38"/>
      <c r="Q132" s="578"/>
      <c r="R132" s="440">
        <f t="shared" si="24"/>
        <v>9236</v>
      </c>
      <c r="S132" s="311"/>
      <c r="T132" s="311"/>
      <c r="U132" s="258"/>
    </row>
    <row r="133" spans="1:21" ht="21.75" customHeight="1">
      <c r="A133" s="482" t="s">
        <v>276</v>
      </c>
      <c r="B133" s="253" t="s">
        <v>194</v>
      </c>
      <c r="C133" s="333" t="s">
        <v>195</v>
      </c>
      <c r="D133" s="402">
        <v>2011</v>
      </c>
      <c r="E133" s="402">
        <v>2014</v>
      </c>
      <c r="F133" s="402">
        <v>750</v>
      </c>
      <c r="G133" s="402">
        <v>75023</v>
      </c>
      <c r="H133" s="402">
        <v>4300</v>
      </c>
      <c r="I133" s="38">
        <v>549000</v>
      </c>
      <c r="J133" s="323">
        <v>183000</v>
      </c>
      <c r="K133" s="323"/>
      <c r="L133" s="323">
        <f aca="true" t="shared" si="25" ref="L133:L141">J133+K133</f>
        <v>183000</v>
      </c>
      <c r="M133" s="308">
        <v>183000</v>
      </c>
      <c r="N133" s="308">
        <v>183000</v>
      </c>
      <c r="O133" s="308">
        <v>0</v>
      </c>
      <c r="P133" s="38">
        <v>0</v>
      </c>
      <c r="Q133" s="578"/>
      <c r="R133" s="440">
        <f t="shared" si="21"/>
        <v>549000</v>
      </c>
      <c r="S133" s="311"/>
      <c r="T133" s="311"/>
      <c r="U133" s="258"/>
    </row>
    <row r="134" spans="1:21" ht="21.75" customHeight="1">
      <c r="A134" s="482" t="s">
        <v>300</v>
      </c>
      <c r="B134" s="253" t="s">
        <v>196</v>
      </c>
      <c r="C134" s="333" t="s">
        <v>195</v>
      </c>
      <c r="D134" s="402">
        <v>2011</v>
      </c>
      <c r="E134" s="402">
        <v>2012</v>
      </c>
      <c r="F134" s="402">
        <v>750</v>
      </c>
      <c r="G134" s="402">
        <v>75023</v>
      </c>
      <c r="H134" s="402">
        <v>4300</v>
      </c>
      <c r="I134" s="38">
        <v>8198</v>
      </c>
      <c r="J134" s="522">
        <v>4099</v>
      </c>
      <c r="K134" s="522"/>
      <c r="L134" s="323">
        <f t="shared" si="25"/>
        <v>4099</v>
      </c>
      <c r="M134" s="312">
        <v>0</v>
      </c>
      <c r="N134" s="308">
        <v>0</v>
      </c>
      <c r="O134" s="308">
        <v>0</v>
      </c>
      <c r="P134" s="38">
        <v>0</v>
      </c>
      <c r="Q134" s="578"/>
      <c r="R134" s="440">
        <f t="shared" si="21"/>
        <v>4099</v>
      </c>
      <c r="S134" s="311"/>
      <c r="T134" s="311"/>
      <c r="U134" s="258"/>
    </row>
    <row r="135" spans="1:21" ht="38.25" customHeight="1">
      <c r="A135" s="482" t="s">
        <v>301</v>
      </c>
      <c r="B135" s="253" t="s">
        <v>230</v>
      </c>
      <c r="C135" s="333" t="s">
        <v>195</v>
      </c>
      <c r="D135" s="402">
        <v>2011</v>
      </c>
      <c r="E135" s="402">
        <v>2012</v>
      </c>
      <c r="F135" s="402">
        <v>750</v>
      </c>
      <c r="G135" s="402">
        <v>75023</v>
      </c>
      <c r="H135" s="402">
        <v>4300</v>
      </c>
      <c r="I135" s="38">
        <v>6360</v>
      </c>
      <c r="J135" s="522">
        <v>3180</v>
      </c>
      <c r="K135" s="522"/>
      <c r="L135" s="323">
        <f t="shared" si="25"/>
        <v>3180</v>
      </c>
      <c r="M135" s="312">
        <v>0</v>
      </c>
      <c r="N135" s="308">
        <v>0</v>
      </c>
      <c r="O135" s="308">
        <v>0</v>
      </c>
      <c r="P135" s="38">
        <v>0</v>
      </c>
      <c r="Q135" s="578"/>
      <c r="R135" s="440">
        <f t="shared" si="21"/>
        <v>3180</v>
      </c>
      <c r="S135" s="311"/>
      <c r="T135" s="311"/>
      <c r="U135" s="258"/>
    </row>
    <row r="136" spans="1:21" ht="22.5" customHeight="1">
      <c r="A136" s="483" t="s">
        <v>302</v>
      </c>
      <c r="B136" s="484" t="s">
        <v>430</v>
      </c>
      <c r="C136" s="454" t="s">
        <v>256</v>
      </c>
      <c r="D136" s="485">
        <v>2011</v>
      </c>
      <c r="E136" s="485">
        <v>2016</v>
      </c>
      <c r="F136" s="485">
        <v>750</v>
      </c>
      <c r="G136" s="485">
        <v>75023</v>
      </c>
      <c r="H136" s="485">
        <v>4300</v>
      </c>
      <c r="I136" s="486">
        <f>R136</f>
        <v>1670000</v>
      </c>
      <c r="J136" s="473">
        <v>430000</v>
      </c>
      <c r="K136" s="473"/>
      <c r="L136" s="473">
        <f t="shared" si="25"/>
        <v>430000</v>
      </c>
      <c r="M136" s="486">
        <v>340000</v>
      </c>
      <c r="N136" s="486">
        <v>300000</v>
      </c>
      <c r="O136" s="486">
        <v>300000</v>
      </c>
      <c r="P136" s="486">
        <v>300000</v>
      </c>
      <c r="Q136" s="579"/>
      <c r="R136" s="476">
        <f t="shared" si="21"/>
        <v>1670000</v>
      </c>
      <c r="S136" s="311"/>
      <c r="T136" s="311"/>
      <c r="U136" s="258"/>
    </row>
    <row r="137" spans="1:21" ht="24" customHeight="1">
      <c r="A137" s="659" t="s">
        <v>303</v>
      </c>
      <c r="B137" s="660" t="s">
        <v>326</v>
      </c>
      <c r="C137" s="661" t="s">
        <v>294</v>
      </c>
      <c r="D137" s="662">
        <v>2012</v>
      </c>
      <c r="E137" s="662">
        <v>2015</v>
      </c>
      <c r="F137" s="662">
        <v>750</v>
      </c>
      <c r="G137" s="662">
        <v>75023</v>
      </c>
      <c r="H137" s="662">
        <v>4360</v>
      </c>
      <c r="I137" s="663">
        <f>R137</f>
        <v>37700</v>
      </c>
      <c r="J137" s="664">
        <v>17050</v>
      </c>
      <c r="K137" s="665"/>
      <c r="L137" s="664">
        <f t="shared" si="25"/>
        <v>17050</v>
      </c>
      <c r="M137" s="666">
        <v>6650</v>
      </c>
      <c r="N137" s="667">
        <v>7000</v>
      </c>
      <c r="O137" s="667">
        <v>7000</v>
      </c>
      <c r="P137" s="663"/>
      <c r="Q137" s="668"/>
      <c r="R137" s="669">
        <f t="shared" si="21"/>
        <v>37700</v>
      </c>
      <c r="S137" s="311"/>
      <c r="T137" s="311"/>
      <c r="U137" s="258"/>
    </row>
    <row r="138" spans="1:21" ht="23.25" customHeight="1">
      <c r="A138" s="482" t="s">
        <v>304</v>
      </c>
      <c r="B138" s="253" t="s">
        <v>293</v>
      </c>
      <c r="C138" s="333" t="s">
        <v>294</v>
      </c>
      <c r="D138" s="402">
        <v>2012</v>
      </c>
      <c r="E138" s="402">
        <v>2014</v>
      </c>
      <c r="F138" s="402">
        <v>750</v>
      </c>
      <c r="G138" s="402">
        <v>75023</v>
      </c>
      <c r="H138" s="402">
        <v>4430</v>
      </c>
      <c r="I138" s="38">
        <f>R138</f>
        <v>51000</v>
      </c>
      <c r="J138" s="323">
        <v>17000</v>
      </c>
      <c r="K138" s="522"/>
      <c r="L138" s="323">
        <f t="shared" si="25"/>
        <v>17000</v>
      </c>
      <c r="M138" s="312">
        <v>17000</v>
      </c>
      <c r="N138" s="308">
        <v>17000</v>
      </c>
      <c r="O138" s="308"/>
      <c r="P138" s="38"/>
      <c r="Q138" s="578"/>
      <c r="R138" s="440">
        <f t="shared" si="21"/>
        <v>51000</v>
      </c>
      <c r="S138" s="311"/>
      <c r="T138" s="311"/>
      <c r="U138" s="258"/>
    </row>
    <row r="139" spans="1:21" ht="26.25" customHeight="1">
      <c r="A139" s="482" t="s">
        <v>305</v>
      </c>
      <c r="B139" s="253" t="s">
        <v>315</v>
      </c>
      <c r="C139" s="333" t="s">
        <v>294</v>
      </c>
      <c r="D139" s="402">
        <v>2012</v>
      </c>
      <c r="E139" s="402">
        <v>2014</v>
      </c>
      <c r="F139" s="402">
        <v>750</v>
      </c>
      <c r="G139" s="402">
        <v>75023</v>
      </c>
      <c r="H139" s="402">
        <v>4430</v>
      </c>
      <c r="I139" s="38">
        <f>R139</f>
        <v>45000</v>
      </c>
      <c r="J139" s="323">
        <v>15000</v>
      </c>
      <c r="K139" s="522"/>
      <c r="L139" s="323">
        <f t="shared" si="25"/>
        <v>15000</v>
      </c>
      <c r="M139" s="312">
        <v>15000</v>
      </c>
      <c r="N139" s="308">
        <v>15000</v>
      </c>
      <c r="O139" s="308"/>
      <c r="P139" s="38"/>
      <c r="Q139" s="578"/>
      <c r="R139" s="440">
        <f t="shared" si="21"/>
        <v>45000</v>
      </c>
      <c r="S139" s="311"/>
      <c r="T139" s="311"/>
      <c r="U139" s="258"/>
    </row>
    <row r="140" spans="1:21" ht="25.5" customHeight="1">
      <c r="A140" s="482" t="s">
        <v>306</v>
      </c>
      <c r="B140" s="310" t="s">
        <v>277</v>
      </c>
      <c r="C140" s="333" t="s">
        <v>195</v>
      </c>
      <c r="D140" s="402">
        <v>2011</v>
      </c>
      <c r="E140" s="402">
        <v>2016</v>
      </c>
      <c r="F140" s="402">
        <v>750</v>
      </c>
      <c r="G140" s="402">
        <v>75023</v>
      </c>
      <c r="H140" s="402">
        <v>4300</v>
      </c>
      <c r="I140" s="38">
        <v>79950</v>
      </c>
      <c r="J140" s="323">
        <v>73800</v>
      </c>
      <c r="K140" s="323"/>
      <c r="L140" s="323">
        <f t="shared" si="25"/>
        <v>73800</v>
      </c>
      <c r="M140" s="308">
        <v>200000</v>
      </c>
      <c r="N140" s="308">
        <v>200000</v>
      </c>
      <c r="O140" s="308">
        <v>200000</v>
      </c>
      <c r="P140" s="308">
        <v>200000</v>
      </c>
      <c r="Q140" s="581"/>
      <c r="R140" s="440">
        <f t="shared" si="21"/>
        <v>873800</v>
      </c>
      <c r="S140" s="311"/>
      <c r="T140" s="311"/>
      <c r="U140" s="258"/>
    </row>
    <row r="141" spans="1:21" ht="24.75" customHeight="1">
      <c r="A141" s="482" t="s">
        <v>307</v>
      </c>
      <c r="B141" s="253" t="s">
        <v>290</v>
      </c>
      <c r="C141" s="333" t="s">
        <v>173</v>
      </c>
      <c r="D141" s="402">
        <v>2012</v>
      </c>
      <c r="E141" s="402">
        <v>2013</v>
      </c>
      <c r="F141" s="402">
        <v>750</v>
      </c>
      <c r="G141" s="402">
        <v>75023</v>
      </c>
      <c r="H141" s="402">
        <v>4300</v>
      </c>
      <c r="I141" s="38">
        <f aca="true" t="shared" si="26" ref="I141:I147">R141</f>
        <v>2583</v>
      </c>
      <c r="J141" s="323">
        <v>1476</v>
      </c>
      <c r="K141" s="323"/>
      <c r="L141" s="323">
        <f t="shared" si="25"/>
        <v>1476</v>
      </c>
      <c r="M141" s="38">
        <v>1107</v>
      </c>
      <c r="N141" s="38">
        <v>0</v>
      </c>
      <c r="O141" s="38">
        <v>0</v>
      </c>
      <c r="P141" s="38">
        <v>0</v>
      </c>
      <c r="Q141" s="578"/>
      <c r="R141" s="440">
        <f t="shared" si="21"/>
        <v>2583</v>
      </c>
      <c r="S141" s="311"/>
      <c r="T141" s="311"/>
      <c r="U141" s="258"/>
    </row>
    <row r="142" spans="1:21" ht="44.25" customHeight="1">
      <c r="A142" s="482" t="s">
        <v>308</v>
      </c>
      <c r="B142" s="253" t="s">
        <v>299</v>
      </c>
      <c r="C142" s="333" t="s">
        <v>294</v>
      </c>
      <c r="D142" s="402">
        <v>2012</v>
      </c>
      <c r="E142" s="402">
        <v>2014</v>
      </c>
      <c r="F142" s="402">
        <v>750</v>
      </c>
      <c r="G142" s="402">
        <v>75075</v>
      </c>
      <c r="H142" s="402">
        <v>4300</v>
      </c>
      <c r="I142" s="38">
        <f t="shared" si="26"/>
        <v>669510</v>
      </c>
      <c r="J142" s="323">
        <v>209755</v>
      </c>
      <c r="K142" s="323"/>
      <c r="L142" s="323">
        <f>J142</f>
        <v>209755</v>
      </c>
      <c r="M142" s="38">
        <v>209755</v>
      </c>
      <c r="N142" s="38">
        <v>250000</v>
      </c>
      <c r="O142" s="38"/>
      <c r="P142" s="38"/>
      <c r="Q142" s="578"/>
      <c r="R142" s="440">
        <f t="shared" si="21"/>
        <v>669510</v>
      </c>
      <c r="S142" s="311"/>
      <c r="T142" s="311"/>
      <c r="U142" s="258"/>
    </row>
    <row r="143" spans="1:21" ht="25.5" customHeight="1">
      <c r="A143" s="482" t="s">
        <v>309</v>
      </c>
      <c r="B143" s="253" t="s">
        <v>291</v>
      </c>
      <c r="C143" s="333" t="s">
        <v>173</v>
      </c>
      <c r="D143" s="402">
        <v>2012</v>
      </c>
      <c r="E143" s="402">
        <v>2015</v>
      </c>
      <c r="F143" s="402">
        <v>754</v>
      </c>
      <c r="G143" s="402">
        <v>75412</v>
      </c>
      <c r="H143" s="402">
        <v>4300</v>
      </c>
      <c r="I143" s="38">
        <f t="shared" si="26"/>
        <v>5813</v>
      </c>
      <c r="J143" s="323">
        <v>2952</v>
      </c>
      <c r="K143" s="323"/>
      <c r="L143" s="323">
        <f aca="true" t="shared" si="27" ref="L143:L158">J143+K143</f>
        <v>2952</v>
      </c>
      <c r="M143" s="38">
        <v>861</v>
      </c>
      <c r="N143" s="38">
        <v>1000</v>
      </c>
      <c r="O143" s="38">
        <v>1000</v>
      </c>
      <c r="P143" s="38">
        <v>0</v>
      </c>
      <c r="Q143" s="578"/>
      <c r="R143" s="440">
        <f t="shared" si="21"/>
        <v>5813</v>
      </c>
      <c r="S143" s="311"/>
      <c r="T143" s="311"/>
      <c r="U143" s="258"/>
    </row>
    <row r="144" spans="1:21" ht="27.75" customHeight="1">
      <c r="A144" s="482" t="s">
        <v>310</v>
      </c>
      <c r="B144" s="253" t="s">
        <v>404</v>
      </c>
      <c r="C144" s="333" t="s">
        <v>405</v>
      </c>
      <c r="D144" s="402">
        <v>2012</v>
      </c>
      <c r="E144" s="402">
        <v>2014</v>
      </c>
      <c r="F144" s="402">
        <v>754</v>
      </c>
      <c r="G144" s="402">
        <v>75412</v>
      </c>
      <c r="H144" s="402">
        <v>4400</v>
      </c>
      <c r="I144" s="38">
        <f>R144</f>
        <v>141362</v>
      </c>
      <c r="J144" s="323">
        <v>10874</v>
      </c>
      <c r="K144" s="323"/>
      <c r="L144" s="323">
        <f>J144+K144</f>
        <v>10874</v>
      </c>
      <c r="M144" s="38">
        <v>65244</v>
      </c>
      <c r="N144" s="38">
        <v>65244</v>
      </c>
      <c r="O144" s="38">
        <v>0</v>
      </c>
      <c r="P144" s="38">
        <v>0</v>
      </c>
      <c r="Q144" s="578"/>
      <c r="R144" s="440">
        <f>SUM(L144:P144)</f>
        <v>141362</v>
      </c>
      <c r="S144" s="311"/>
      <c r="T144" s="311"/>
      <c r="U144" s="258"/>
    </row>
    <row r="145" spans="1:21" ht="25.5" customHeight="1">
      <c r="A145" s="482" t="s">
        <v>311</v>
      </c>
      <c r="B145" s="253" t="s">
        <v>316</v>
      </c>
      <c r="C145" s="333" t="s">
        <v>173</v>
      </c>
      <c r="D145" s="402">
        <v>2012</v>
      </c>
      <c r="E145" s="402">
        <v>2014</v>
      </c>
      <c r="F145" s="402">
        <v>754</v>
      </c>
      <c r="G145" s="402">
        <v>75412</v>
      </c>
      <c r="H145" s="402">
        <v>4430</v>
      </c>
      <c r="I145" s="38">
        <f t="shared" si="26"/>
        <v>105000</v>
      </c>
      <c r="J145" s="323">
        <v>35000</v>
      </c>
      <c r="K145" s="323"/>
      <c r="L145" s="323">
        <f t="shared" si="27"/>
        <v>35000</v>
      </c>
      <c r="M145" s="38">
        <v>35000</v>
      </c>
      <c r="N145" s="38">
        <v>35000</v>
      </c>
      <c r="O145" s="38">
        <v>0</v>
      </c>
      <c r="P145" s="38">
        <v>0</v>
      </c>
      <c r="Q145" s="578"/>
      <c r="R145" s="440">
        <f t="shared" si="21"/>
        <v>105000</v>
      </c>
      <c r="S145" s="311"/>
      <c r="T145" s="311"/>
      <c r="U145" s="258"/>
    </row>
    <row r="146" spans="1:21" ht="25.5" customHeight="1">
      <c r="A146" s="482" t="s">
        <v>312</v>
      </c>
      <c r="B146" s="253" t="s">
        <v>317</v>
      </c>
      <c r="C146" s="333" t="s">
        <v>173</v>
      </c>
      <c r="D146" s="402">
        <v>2012</v>
      </c>
      <c r="E146" s="402">
        <v>2014</v>
      </c>
      <c r="F146" s="402">
        <v>754</v>
      </c>
      <c r="G146" s="402">
        <v>75412</v>
      </c>
      <c r="H146" s="402">
        <v>4430</v>
      </c>
      <c r="I146" s="38">
        <f t="shared" si="26"/>
        <v>16500</v>
      </c>
      <c r="J146" s="323">
        <v>5500</v>
      </c>
      <c r="K146" s="323"/>
      <c r="L146" s="323">
        <f t="shared" si="27"/>
        <v>5500</v>
      </c>
      <c r="M146" s="38">
        <v>5500</v>
      </c>
      <c r="N146" s="38">
        <v>5500</v>
      </c>
      <c r="O146" s="38">
        <v>0</v>
      </c>
      <c r="P146" s="38">
        <v>0</v>
      </c>
      <c r="Q146" s="578"/>
      <c r="R146" s="440">
        <f t="shared" si="21"/>
        <v>16500</v>
      </c>
      <c r="S146" s="311"/>
      <c r="T146" s="311"/>
      <c r="U146" s="258"/>
    </row>
    <row r="147" spans="1:21" ht="25.5" customHeight="1">
      <c r="A147" s="482" t="s">
        <v>313</v>
      </c>
      <c r="B147" s="253" t="s">
        <v>326</v>
      </c>
      <c r="C147" s="333" t="s">
        <v>294</v>
      </c>
      <c r="D147" s="402">
        <v>2012</v>
      </c>
      <c r="E147" s="402">
        <v>2015</v>
      </c>
      <c r="F147" s="402">
        <v>754</v>
      </c>
      <c r="G147" s="402">
        <v>75412</v>
      </c>
      <c r="H147" s="402">
        <v>4360</v>
      </c>
      <c r="I147" s="38">
        <f t="shared" si="26"/>
        <v>4800</v>
      </c>
      <c r="J147" s="323">
        <v>1000</v>
      </c>
      <c r="K147" s="522"/>
      <c r="L147" s="323">
        <f t="shared" si="27"/>
        <v>1000</v>
      </c>
      <c r="M147" s="312">
        <v>1200</v>
      </c>
      <c r="N147" s="308">
        <v>1300</v>
      </c>
      <c r="O147" s="308">
        <v>1300</v>
      </c>
      <c r="P147" s="38"/>
      <c r="Q147" s="578"/>
      <c r="R147" s="440">
        <f t="shared" si="21"/>
        <v>4800</v>
      </c>
      <c r="S147" s="311"/>
      <c r="T147" s="311"/>
      <c r="U147" s="258"/>
    </row>
    <row r="148" spans="1:18" ht="18" customHeight="1">
      <c r="A148" s="482" t="s">
        <v>322</v>
      </c>
      <c r="B148" s="253" t="s">
        <v>249</v>
      </c>
      <c r="C148" s="333" t="s">
        <v>250</v>
      </c>
      <c r="D148" s="402">
        <v>2011</v>
      </c>
      <c r="E148" s="402">
        <v>2014</v>
      </c>
      <c r="F148" s="402">
        <v>801</v>
      </c>
      <c r="G148" s="402">
        <v>80101</v>
      </c>
      <c r="H148" s="402">
        <v>4260</v>
      </c>
      <c r="I148" s="38">
        <f>SUM(J148:N148)</f>
        <v>1380000</v>
      </c>
      <c r="J148" s="323">
        <v>330000</v>
      </c>
      <c r="K148" s="323"/>
      <c r="L148" s="323">
        <f t="shared" si="27"/>
        <v>330000</v>
      </c>
      <c r="M148" s="38">
        <v>350000</v>
      </c>
      <c r="N148" s="38">
        <v>370000</v>
      </c>
      <c r="O148" s="38"/>
      <c r="P148" s="38"/>
      <c r="Q148" s="578"/>
      <c r="R148" s="440">
        <f t="shared" si="21"/>
        <v>1050000</v>
      </c>
    </row>
    <row r="149" spans="1:18" ht="24.75" customHeight="1">
      <c r="A149" s="482" t="s">
        <v>323</v>
      </c>
      <c r="B149" s="489" t="s">
        <v>329</v>
      </c>
      <c r="C149" s="397" t="s">
        <v>250</v>
      </c>
      <c r="D149" s="400">
        <v>2012</v>
      </c>
      <c r="E149" s="400">
        <v>2014</v>
      </c>
      <c r="F149" s="400">
        <v>801</v>
      </c>
      <c r="G149" s="400">
        <v>80101</v>
      </c>
      <c r="H149" s="400">
        <v>4300</v>
      </c>
      <c r="I149" s="490">
        <f>R149</f>
        <v>7200</v>
      </c>
      <c r="J149" s="324">
        <v>2400</v>
      </c>
      <c r="K149" s="523"/>
      <c r="L149" s="324">
        <f t="shared" si="27"/>
        <v>2400</v>
      </c>
      <c r="M149" s="492">
        <v>2400</v>
      </c>
      <c r="N149" s="491">
        <v>2400</v>
      </c>
      <c r="O149" s="491"/>
      <c r="P149" s="490"/>
      <c r="Q149" s="582"/>
      <c r="R149" s="480">
        <f t="shared" si="21"/>
        <v>7200</v>
      </c>
    </row>
    <row r="150" spans="1:18" ht="24.75" customHeight="1">
      <c r="A150" s="482" t="s">
        <v>324</v>
      </c>
      <c r="B150" s="489" t="s">
        <v>429</v>
      </c>
      <c r="C150" s="545" t="s">
        <v>250</v>
      </c>
      <c r="D150" s="548">
        <v>2012</v>
      </c>
      <c r="E150" s="548">
        <v>2016</v>
      </c>
      <c r="F150" s="548">
        <v>801</v>
      </c>
      <c r="G150" s="548">
        <v>80101</v>
      </c>
      <c r="H150" s="548">
        <v>4300</v>
      </c>
      <c r="I150" s="490">
        <f>R150</f>
        <v>200000</v>
      </c>
      <c r="J150" s="546">
        <v>40000</v>
      </c>
      <c r="K150" s="523"/>
      <c r="L150" s="546">
        <f>J150+K150</f>
        <v>40000</v>
      </c>
      <c r="M150" s="491">
        <v>40000</v>
      </c>
      <c r="N150" s="491">
        <v>40000</v>
      </c>
      <c r="O150" s="491">
        <v>40000</v>
      </c>
      <c r="P150" s="491">
        <v>40000</v>
      </c>
      <c r="Q150" s="583"/>
      <c r="R150" s="544">
        <f>SUM(L150:P150)</f>
        <v>200000</v>
      </c>
    </row>
    <row r="151" spans="1:18" ht="24.75" customHeight="1">
      <c r="A151" s="482" t="s">
        <v>327</v>
      </c>
      <c r="B151" s="493" t="s">
        <v>326</v>
      </c>
      <c r="C151" s="494" t="s">
        <v>250</v>
      </c>
      <c r="D151" s="495">
        <v>2012</v>
      </c>
      <c r="E151" s="495">
        <v>2015</v>
      </c>
      <c r="F151" s="495">
        <v>801</v>
      </c>
      <c r="G151" s="495">
        <v>80101</v>
      </c>
      <c r="H151" s="495">
        <v>4360</v>
      </c>
      <c r="I151" s="496">
        <f>R151</f>
        <v>44000</v>
      </c>
      <c r="J151" s="524">
        <v>11000</v>
      </c>
      <c r="K151" s="525"/>
      <c r="L151" s="524">
        <f t="shared" si="27"/>
        <v>11000</v>
      </c>
      <c r="M151" s="498">
        <v>11000</v>
      </c>
      <c r="N151" s="497">
        <v>11000</v>
      </c>
      <c r="O151" s="497">
        <v>11000</v>
      </c>
      <c r="P151" s="496"/>
      <c r="Q151" s="584"/>
      <c r="R151" s="499">
        <f t="shared" si="21"/>
        <v>44000</v>
      </c>
    </row>
    <row r="152" spans="1:18" ht="24.75" customHeight="1">
      <c r="A152" s="482" t="s">
        <v>328</v>
      </c>
      <c r="B152" s="394" t="s">
        <v>249</v>
      </c>
      <c r="C152" s="399" t="s">
        <v>250</v>
      </c>
      <c r="D152" s="401">
        <v>2011</v>
      </c>
      <c r="E152" s="401">
        <v>2015</v>
      </c>
      <c r="F152" s="401">
        <v>801</v>
      </c>
      <c r="G152" s="401">
        <v>80104</v>
      </c>
      <c r="H152" s="401">
        <v>4260</v>
      </c>
      <c r="I152" s="395">
        <f>SUM(J152:N152)</f>
        <v>329000</v>
      </c>
      <c r="J152" s="322">
        <v>78000</v>
      </c>
      <c r="K152" s="322"/>
      <c r="L152" s="322">
        <f t="shared" si="27"/>
        <v>78000</v>
      </c>
      <c r="M152" s="395">
        <v>84000</v>
      </c>
      <c r="N152" s="395">
        <v>89000</v>
      </c>
      <c r="O152" s="395">
        <v>100000</v>
      </c>
      <c r="P152" s="395"/>
      <c r="Q152" s="580"/>
      <c r="R152" s="451">
        <f t="shared" si="21"/>
        <v>351000</v>
      </c>
    </row>
    <row r="153" spans="1:18" ht="24.75" customHeight="1">
      <c r="A153" s="482" t="s">
        <v>331</v>
      </c>
      <c r="B153" s="394" t="s">
        <v>428</v>
      </c>
      <c r="C153" s="547" t="s">
        <v>250</v>
      </c>
      <c r="D153" s="549">
        <v>2011</v>
      </c>
      <c r="E153" s="549">
        <v>2016</v>
      </c>
      <c r="F153" s="549">
        <v>801</v>
      </c>
      <c r="G153" s="549">
        <v>80104</v>
      </c>
      <c r="H153" s="549">
        <v>4300</v>
      </c>
      <c r="I153" s="395">
        <f>SUM(J153:N153)</f>
        <v>80000</v>
      </c>
      <c r="J153" s="322">
        <v>20000</v>
      </c>
      <c r="K153" s="322"/>
      <c r="L153" s="322">
        <f>J153+K153</f>
        <v>20000</v>
      </c>
      <c r="M153" s="395">
        <v>20000</v>
      </c>
      <c r="N153" s="395">
        <v>20000</v>
      </c>
      <c r="O153" s="395">
        <v>20000</v>
      </c>
      <c r="P153" s="395">
        <v>20000</v>
      </c>
      <c r="Q153" s="580"/>
      <c r="R153" s="451">
        <f>SUM(L153:P153)</f>
        <v>100000</v>
      </c>
    </row>
    <row r="154" spans="1:18" ht="25.5" customHeight="1">
      <c r="A154" s="482" t="s">
        <v>332</v>
      </c>
      <c r="B154" s="253" t="s">
        <v>249</v>
      </c>
      <c r="C154" s="333" t="s">
        <v>250</v>
      </c>
      <c r="D154" s="402">
        <v>2011</v>
      </c>
      <c r="E154" s="402">
        <v>2015</v>
      </c>
      <c r="F154" s="402">
        <v>801</v>
      </c>
      <c r="G154" s="402">
        <v>80110</v>
      </c>
      <c r="H154" s="402">
        <v>4260</v>
      </c>
      <c r="I154" s="38">
        <f>SUM(J154:N154)</f>
        <v>690000</v>
      </c>
      <c r="J154" s="323">
        <v>160000</v>
      </c>
      <c r="K154" s="323"/>
      <c r="L154" s="323">
        <f t="shared" si="27"/>
        <v>160000</v>
      </c>
      <c r="M154" s="38">
        <v>180000</v>
      </c>
      <c r="N154" s="38">
        <v>190000</v>
      </c>
      <c r="O154" s="38">
        <v>190000</v>
      </c>
      <c r="P154" s="38"/>
      <c r="Q154" s="578"/>
      <c r="R154" s="440">
        <f t="shared" si="21"/>
        <v>720000</v>
      </c>
    </row>
    <row r="155" spans="1:18" ht="22.5" customHeight="1">
      <c r="A155" s="482" t="s">
        <v>333</v>
      </c>
      <c r="B155" s="253" t="s">
        <v>326</v>
      </c>
      <c r="C155" s="333" t="s">
        <v>250</v>
      </c>
      <c r="D155" s="402">
        <v>2012</v>
      </c>
      <c r="E155" s="402">
        <v>2015</v>
      </c>
      <c r="F155" s="402">
        <v>801</v>
      </c>
      <c r="G155" s="402">
        <v>80114</v>
      </c>
      <c r="H155" s="402">
        <v>4360</v>
      </c>
      <c r="I155" s="38">
        <f>R155</f>
        <v>21000</v>
      </c>
      <c r="J155" s="323">
        <v>3000</v>
      </c>
      <c r="K155" s="522"/>
      <c r="L155" s="323">
        <f t="shared" si="27"/>
        <v>3000</v>
      </c>
      <c r="M155" s="312">
        <v>6000</v>
      </c>
      <c r="N155" s="308">
        <v>6000</v>
      </c>
      <c r="O155" s="308">
        <v>6000</v>
      </c>
      <c r="P155" s="38"/>
      <c r="Q155" s="578"/>
      <c r="R155" s="440">
        <f t="shared" si="21"/>
        <v>21000</v>
      </c>
    </row>
    <row r="156" spans="1:18" ht="23.25" customHeight="1">
      <c r="A156" s="482" t="s">
        <v>374</v>
      </c>
      <c r="B156" s="253" t="s">
        <v>249</v>
      </c>
      <c r="C156" s="333" t="s">
        <v>250</v>
      </c>
      <c r="D156" s="402">
        <v>2011</v>
      </c>
      <c r="E156" s="402">
        <v>2014</v>
      </c>
      <c r="F156" s="402">
        <v>801</v>
      </c>
      <c r="G156" s="402">
        <v>80148</v>
      </c>
      <c r="H156" s="402">
        <v>4260</v>
      </c>
      <c r="I156" s="38">
        <f>SUM(J156:N156)</f>
        <v>84000</v>
      </c>
      <c r="J156" s="323">
        <v>18000</v>
      </c>
      <c r="K156" s="323"/>
      <c r="L156" s="323">
        <f t="shared" si="27"/>
        <v>18000</v>
      </c>
      <c r="M156" s="38">
        <v>22000</v>
      </c>
      <c r="N156" s="38">
        <v>26000</v>
      </c>
      <c r="O156" s="38"/>
      <c r="P156" s="38"/>
      <c r="Q156" s="578"/>
      <c r="R156" s="440">
        <f t="shared" si="21"/>
        <v>66000</v>
      </c>
    </row>
    <row r="157" spans="1:21" ht="45" customHeight="1">
      <c r="A157" s="482" t="s">
        <v>408</v>
      </c>
      <c r="B157" s="253" t="s">
        <v>425</v>
      </c>
      <c r="C157" s="333" t="s">
        <v>250</v>
      </c>
      <c r="D157" s="402">
        <v>2011</v>
      </c>
      <c r="E157" s="402">
        <v>2015</v>
      </c>
      <c r="F157" s="402">
        <v>801</v>
      </c>
      <c r="G157" s="402">
        <v>80113</v>
      </c>
      <c r="H157" s="402">
        <v>4300</v>
      </c>
      <c r="I157" s="38">
        <f>L157+M157+N157+O157</f>
        <v>891345</v>
      </c>
      <c r="J157" s="318">
        <v>116538</v>
      </c>
      <c r="K157" s="318"/>
      <c r="L157" s="323">
        <f t="shared" si="27"/>
        <v>116538</v>
      </c>
      <c r="M157" s="308">
        <v>174807</v>
      </c>
      <c r="N157" s="307">
        <v>300000</v>
      </c>
      <c r="O157" s="38">
        <v>300000</v>
      </c>
      <c r="P157" s="38"/>
      <c r="Q157" s="578"/>
      <c r="R157" s="440">
        <f t="shared" si="21"/>
        <v>891345</v>
      </c>
      <c r="S157" s="488"/>
      <c r="T157" s="38"/>
      <c r="U157" s="131">
        <f>SUM(N157:S157)</f>
        <v>1491345</v>
      </c>
    </row>
    <row r="158" spans="1:21" ht="33.75" customHeight="1">
      <c r="A158" s="482" t="s">
        <v>377</v>
      </c>
      <c r="B158" s="253" t="s">
        <v>426</v>
      </c>
      <c r="C158" s="333" t="s">
        <v>250</v>
      </c>
      <c r="D158" s="402">
        <v>2011</v>
      </c>
      <c r="E158" s="402">
        <v>2015</v>
      </c>
      <c r="F158" s="402">
        <v>801</v>
      </c>
      <c r="G158" s="402">
        <v>80113</v>
      </c>
      <c r="H158" s="402">
        <v>4300</v>
      </c>
      <c r="I158" s="38">
        <v>978303</v>
      </c>
      <c r="J158" s="318">
        <v>325940</v>
      </c>
      <c r="K158" s="318"/>
      <c r="L158" s="323">
        <f t="shared" si="27"/>
        <v>325940</v>
      </c>
      <c r="M158" s="308">
        <v>488809</v>
      </c>
      <c r="N158" s="307">
        <v>600000</v>
      </c>
      <c r="O158" s="38">
        <v>600000</v>
      </c>
      <c r="P158" s="38"/>
      <c r="Q158" s="578"/>
      <c r="R158" s="440">
        <f t="shared" si="21"/>
        <v>2014749</v>
      </c>
      <c r="S158" s="488"/>
      <c r="T158" s="38"/>
      <c r="U158" s="131">
        <f>SUM(N158:S158)</f>
        <v>3214749</v>
      </c>
    </row>
    <row r="159" spans="1:21" ht="18" customHeight="1">
      <c r="A159" s="482" t="s">
        <v>378</v>
      </c>
      <c r="B159" s="253" t="s">
        <v>318</v>
      </c>
      <c r="C159" s="333" t="s">
        <v>250</v>
      </c>
      <c r="D159" s="402">
        <v>2012</v>
      </c>
      <c r="E159" s="402">
        <v>2013</v>
      </c>
      <c r="F159" s="402">
        <v>801</v>
      </c>
      <c r="G159" s="402">
        <v>80101</v>
      </c>
      <c r="H159" s="402">
        <v>4430</v>
      </c>
      <c r="I159" s="38">
        <f aca="true" t="shared" si="28" ref="I159:I177">R159</f>
        <v>44000</v>
      </c>
      <c r="J159" s="323">
        <v>22000</v>
      </c>
      <c r="K159" s="522"/>
      <c r="L159" s="323">
        <f aca="true" t="shared" si="29" ref="L159:L177">J159+K159</f>
        <v>22000</v>
      </c>
      <c r="M159" s="312">
        <v>22000</v>
      </c>
      <c r="N159" s="308"/>
      <c r="O159" s="308"/>
      <c r="P159" s="38"/>
      <c r="Q159" s="578"/>
      <c r="R159" s="440">
        <f aca="true" t="shared" si="30" ref="R159:R177">SUM(L159:P159)</f>
        <v>44000</v>
      </c>
      <c r="S159" s="311"/>
      <c r="T159" s="311"/>
      <c r="U159" s="258"/>
    </row>
    <row r="160" spans="1:21" ht="19.5" customHeight="1">
      <c r="A160" s="482" t="s">
        <v>379</v>
      </c>
      <c r="B160" s="253" t="s">
        <v>319</v>
      </c>
      <c r="C160" s="333" t="s">
        <v>250</v>
      </c>
      <c r="D160" s="402">
        <v>2012</v>
      </c>
      <c r="E160" s="402">
        <v>2013</v>
      </c>
      <c r="F160" s="402">
        <v>801</v>
      </c>
      <c r="G160" s="402">
        <v>80104</v>
      </c>
      <c r="H160" s="402">
        <v>4430</v>
      </c>
      <c r="I160" s="38">
        <f t="shared" si="28"/>
        <v>2000</v>
      </c>
      <c r="J160" s="522">
        <v>1000</v>
      </c>
      <c r="K160" s="522"/>
      <c r="L160" s="323">
        <f t="shared" si="29"/>
        <v>1000</v>
      </c>
      <c r="M160" s="312">
        <v>1000</v>
      </c>
      <c r="N160" s="308"/>
      <c r="O160" s="308"/>
      <c r="P160" s="38"/>
      <c r="Q160" s="578"/>
      <c r="R160" s="440">
        <f t="shared" si="30"/>
        <v>2000</v>
      </c>
      <c r="S160" s="311"/>
      <c r="T160" s="311"/>
      <c r="U160" s="258"/>
    </row>
    <row r="161" spans="1:21" ht="19.5" customHeight="1">
      <c r="A161" s="482" t="s">
        <v>380</v>
      </c>
      <c r="B161" s="253" t="s">
        <v>427</v>
      </c>
      <c r="C161" s="333" t="s">
        <v>250</v>
      </c>
      <c r="D161" s="402">
        <v>2012</v>
      </c>
      <c r="E161" s="402">
        <v>2016</v>
      </c>
      <c r="F161" s="402">
        <v>801</v>
      </c>
      <c r="G161" s="402">
        <v>80114</v>
      </c>
      <c r="H161" s="402">
        <v>4300</v>
      </c>
      <c r="I161" s="38">
        <f>R161</f>
        <v>50000</v>
      </c>
      <c r="J161" s="522">
        <v>10000</v>
      </c>
      <c r="K161" s="522"/>
      <c r="L161" s="323">
        <f>J161+K161</f>
        <v>10000</v>
      </c>
      <c r="M161" s="312">
        <v>10000</v>
      </c>
      <c r="N161" s="312">
        <v>10000</v>
      </c>
      <c r="O161" s="312">
        <v>10000</v>
      </c>
      <c r="P161" s="312">
        <v>10000</v>
      </c>
      <c r="Q161" s="585"/>
      <c r="R161" s="440">
        <f>SUM(L161:P161)</f>
        <v>50000</v>
      </c>
      <c r="S161" s="311"/>
      <c r="T161" s="311"/>
      <c r="U161" s="258"/>
    </row>
    <row r="162" spans="1:21" ht="20.25" customHeight="1">
      <c r="A162" s="482" t="s">
        <v>381</v>
      </c>
      <c r="B162" s="253" t="s">
        <v>320</v>
      </c>
      <c r="C162" s="333" t="s">
        <v>250</v>
      </c>
      <c r="D162" s="402">
        <v>2012</v>
      </c>
      <c r="E162" s="402">
        <v>2013</v>
      </c>
      <c r="F162" s="402">
        <v>801</v>
      </c>
      <c r="G162" s="402">
        <v>80114</v>
      </c>
      <c r="H162" s="402">
        <v>4430</v>
      </c>
      <c r="I162" s="38">
        <f t="shared" si="28"/>
        <v>2800</v>
      </c>
      <c r="J162" s="522">
        <v>2000</v>
      </c>
      <c r="K162" s="522"/>
      <c r="L162" s="323">
        <f t="shared" si="29"/>
        <v>2000</v>
      </c>
      <c r="M162" s="312">
        <v>800</v>
      </c>
      <c r="N162" s="308"/>
      <c r="O162" s="308"/>
      <c r="P162" s="38"/>
      <c r="Q162" s="578"/>
      <c r="R162" s="440">
        <f t="shared" si="30"/>
        <v>2800</v>
      </c>
      <c r="S162" s="311"/>
      <c r="T162" s="311"/>
      <c r="U162" s="258"/>
    </row>
    <row r="163" spans="1:21" ht="20.25" customHeight="1">
      <c r="A163" s="638" t="s">
        <v>382</v>
      </c>
      <c r="B163" s="489" t="s">
        <v>321</v>
      </c>
      <c r="C163" s="639" t="s">
        <v>330</v>
      </c>
      <c r="D163" s="642">
        <v>2012</v>
      </c>
      <c r="E163" s="642">
        <v>2013</v>
      </c>
      <c r="F163" s="642">
        <v>852</v>
      </c>
      <c r="G163" s="642">
        <v>85219</v>
      </c>
      <c r="H163" s="642">
        <v>4430</v>
      </c>
      <c r="I163" s="490">
        <f t="shared" si="28"/>
        <v>2600</v>
      </c>
      <c r="J163" s="523">
        <v>2000</v>
      </c>
      <c r="K163" s="523"/>
      <c r="L163" s="646">
        <f t="shared" si="29"/>
        <v>2000</v>
      </c>
      <c r="M163" s="492">
        <v>600</v>
      </c>
      <c r="N163" s="491"/>
      <c r="O163" s="491"/>
      <c r="P163" s="490"/>
      <c r="Q163" s="582"/>
      <c r="R163" s="645">
        <f t="shared" si="30"/>
        <v>2600</v>
      </c>
      <c r="S163" s="311"/>
      <c r="T163" s="311"/>
      <c r="U163" s="258"/>
    </row>
    <row r="164" spans="1:21" ht="10.5" customHeight="1">
      <c r="A164" s="670"/>
      <c r="B164" s="671"/>
      <c r="C164" s="613"/>
      <c r="D164" s="672"/>
      <c r="E164" s="672"/>
      <c r="F164" s="672"/>
      <c r="G164" s="672"/>
      <c r="H164" s="672"/>
      <c r="I164" s="673"/>
      <c r="J164" s="674"/>
      <c r="K164" s="674"/>
      <c r="L164" s="622"/>
      <c r="M164" s="674"/>
      <c r="N164" s="622"/>
      <c r="O164" s="622"/>
      <c r="P164" s="673"/>
      <c r="Q164" s="673"/>
      <c r="R164" s="487"/>
      <c r="S164" s="311"/>
      <c r="T164" s="311"/>
      <c r="U164" s="258"/>
    </row>
    <row r="165" spans="1:21" ht="13.5" customHeight="1">
      <c r="A165" s="675"/>
      <c r="B165" s="676"/>
      <c r="C165" s="677"/>
      <c r="D165" s="678"/>
      <c r="E165" s="678"/>
      <c r="F165" s="678"/>
      <c r="G165" s="678"/>
      <c r="H165" s="678"/>
      <c r="I165" s="311"/>
      <c r="J165" s="679"/>
      <c r="K165" s="679"/>
      <c r="L165" s="680"/>
      <c r="M165" s="679"/>
      <c r="N165" s="680"/>
      <c r="O165" s="680"/>
      <c r="P165" s="311"/>
      <c r="Q165" s="311"/>
      <c r="R165" s="258"/>
      <c r="S165" s="311"/>
      <c r="T165" s="311"/>
      <c r="U165" s="258"/>
    </row>
    <row r="166" spans="1:21" ht="13.5" customHeight="1">
      <c r="A166" s="675"/>
      <c r="B166" s="676"/>
      <c r="C166" s="677"/>
      <c r="D166" s="678"/>
      <c r="E166" s="678"/>
      <c r="F166" s="678"/>
      <c r="G166" s="678"/>
      <c r="H166" s="678"/>
      <c r="I166" s="311"/>
      <c r="J166" s="679"/>
      <c r="K166" s="679"/>
      <c r="L166" s="680"/>
      <c r="M166" s="679"/>
      <c r="N166" s="680"/>
      <c r="O166" s="680"/>
      <c r="P166" s="311"/>
      <c r="Q166" s="311"/>
      <c r="R166" s="258"/>
      <c r="S166" s="311"/>
      <c r="T166" s="311"/>
      <c r="U166" s="258"/>
    </row>
    <row r="167" spans="1:21" ht="9" customHeight="1">
      <c r="A167" s="675"/>
      <c r="B167" s="676"/>
      <c r="C167" s="677"/>
      <c r="D167" s="678"/>
      <c r="E167" s="678"/>
      <c r="F167" s="678"/>
      <c r="G167" s="678"/>
      <c r="H167" s="678"/>
      <c r="I167" s="311"/>
      <c r="J167" s="679"/>
      <c r="K167" s="679"/>
      <c r="L167" s="680"/>
      <c r="M167" s="679"/>
      <c r="N167" s="680"/>
      <c r="O167" s="680"/>
      <c r="P167" s="311"/>
      <c r="Q167" s="311"/>
      <c r="R167" s="258"/>
      <c r="S167" s="311"/>
      <c r="T167" s="311"/>
      <c r="U167" s="258"/>
    </row>
    <row r="168" spans="1:21" ht="12" customHeight="1">
      <c r="A168" s="675"/>
      <c r="B168" s="676"/>
      <c r="C168" s="677"/>
      <c r="D168" s="678"/>
      <c r="E168" s="678"/>
      <c r="F168" s="678"/>
      <c r="G168" s="678"/>
      <c r="H168" s="678"/>
      <c r="I168" s="311"/>
      <c r="J168" s="679"/>
      <c r="K168" s="679"/>
      <c r="L168" s="680"/>
      <c r="M168" s="679"/>
      <c r="N168" s="680"/>
      <c r="O168" s="680"/>
      <c r="P168" s="311" t="s">
        <v>453</v>
      </c>
      <c r="Q168" s="311"/>
      <c r="R168" s="258"/>
      <c r="S168" s="311"/>
      <c r="T168" s="311"/>
      <c r="U168" s="258"/>
    </row>
    <row r="169" spans="1:21" ht="20.25" customHeight="1">
      <c r="A169" s="675"/>
      <c r="B169" s="676"/>
      <c r="C169" s="677"/>
      <c r="D169" s="678"/>
      <c r="E169" s="678"/>
      <c r="F169" s="678"/>
      <c r="G169" s="678"/>
      <c r="H169" s="678"/>
      <c r="I169" s="311"/>
      <c r="J169" s="679"/>
      <c r="K169" s="679"/>
      <c r="L169" s="680"/>
      <c r="M169" s="679"/>
      <c r="N169" s="680"/>
      <c r="O169" s="680"/>
      <c r="P169" s="311"/>
      <c r="Q169" s="311"/>
      <c r="R169" s="258"/>
      <c r="S169" s="311"/>
      <c r="T169" s="311"/>
      <c r="U169" s="258"/>
    </row>
    <row r="170" spans="1:21" ht="10.5" customHeight="1">
      <c r="A170" s="675"/>
      <c r="B170" s="676"/>
      <c r="C170" s="677"/>
      <c r="D170" s="678"/>
      <c r="E170" s="678"/>
      <c r="F170" s="678"/>
      <c r="G170" s="678"/>
      <c r="H170" s="678"/>
      <c r="I170" s="311"/>
      <c r="J170" s="679"/>
      <c r="K170" s="679"/>
      <c r="L170" s="680"/>
      <c r="M170" s="679"/>
      <c r="N170" s="680"/>
      <c r="O170" s="680"/>
      <c r="P170" s="311"/>
      <c r="Q170" s="311"/>
      <c r="R170" s="258"/>
      <c r="S170" s="311"/>
      <c r="T170" s="311"/>
      <c r="U170" s="258"/>
    </row>
    <row r="171" spans="1:21" ht="20.25" customHeight="1">
      <c r="A171" s="782" t="s">
        <v>383</v>
      </c>
      <c r="B171" s="802" t="s">
        <v>350</v>
      </c>
      <c r="C171" s="788" t="s">
        <v>330</v>
      </c>
      <c r="D171" s="807">
        <v>2012</v>
      </c>
      <c r="E171" s="807">
        <v>2013</v>
      </c>
      <c r="F171" s="807">
        <v>853</v>
      </c>
      <c r="G171" s="807">
        <v>85395</v>
      </c>
      <c r="H171" s="500" t="s">
        <v>164</v>
      </c>
      <c r="I171" s="501">
        <f>SUM(I172:I177)</f>
        <v>49870</v>
      </c>
      <c r="J171" s="526">
        <f>SUM(J172:J177)</f>
        <v>17194</v>
      </c>
      <c r="K171" s="526">
        <f>SUM(K172:K177)</f>
        <v>0</v>
      </c>
      <c r="L171" s="526">
        <f>SUM(L172:L177)</f>
        <v>17194</v>
      </c>
      <c r="M171" s="501">
        <f>SUM(M172:M177)</f>
        <v>32676</v>
      </c>
      <c r="N171" s="502"/>
      <c r="O171" s="502"/>
      <c r="P171" s="501"/>
      <c r="Q171" s="586"/>
      <c r="R171" s="503">
        <f>SUM(R172:R177)</f>
        <v>49870</v>
      </c>
      <c r="S171" s="311"/>
      <c r="T171" s="311"/>
      <c r="U171" s="258"/>
    </row>
    <row r="172" spans="1:21" ht="20.25" customHeight="1">
      <c r="A172" s="800"/>
      <c r="B172" s="803"/>
      <c r="C172" s="805"/>
      <c r="D172" s="805"/>
      <c r="E172" s="805"/>
      <c r="F172" s="805"/>
      <c r="G172" s="805"/>
      <c r="H172" s="402">
        <v>4017</v>
      </c>
      <c r="I172" s="38">
        <f t="shared" si="28"/>
        <v>1497</v>
      </c>
      <c r="J172" s="522">
        <v>798</v>
      </c>
      <c r="K172" s="522"/>
      <c r="L172" s="323">
        <f t="shared" si="29"/>
        <v>798</v>
      </c>
      <c r="M172" s="312">
        <v>699</v>
      </c>
      <c r="N172" s="308"/>
      <c r="O172" s="308"/>
      <c r="P172" s="38"/>
      <c r="Q172" s="578"/>
      <c r="R172" s="440">
        <f t="shared" si="30"/>
        <v>1497</v>
      </c>
      <c r="S172" s="311"/>
      <c r="T172" s="311"/>
      <c r="U172" s="258"/>
    </row>
    <row r="173" spans="1:21" ht="20.25" customHeight="1">
      <c r="A173" s="800"/>
      <c r="B173" s="803"/>
      <c r="C173" s="805"/>
      <c r="D173" s="805"/>
      <c r="E173" s="805"/>
      <c r="F173" s="805"/>
      <c r="G173" s="805"/>
      <c r="H173" s="402">
        <v>4117</v>
      </c>
      <c r="I173" s="38">
        <f>R173</f>
        <v>2186</v>
      </c>
      <c r="J173" s="522">
        <v>908</v>
      </c>
      <c r="K173" s="522"/>
      <c r="L173" s="323">
        <f>J173+K173</f>
        <v>908</v>
      </c>
      <c r="M173" s="312">
        <v>1278</v>
      </c>
      <c r="N173" s="308"/>
      <c r="O173" s="308"/>
      <c r="P173" s="38"/>
      <c r="Q173" s="578"/>
      <c r="R173" s="440">
        <f>SUM(L173:P173)</f>
        <v>2186</v>
      </c>
      <c r="S173" s="311"/>
      <c r="T173" s="311"/>
      <c r="U173" s="258"/>
    </row>
    <row r="174" spans="1:21" ht="20.25" customHeight="1">
      <c r="A174" s="800"/>
      <c r="B174" s="803"/>
      <c r="C174" s="805"/>
      <c r="D174" s="805"/>
      <c r="E174" s="805"/>
      <c r="F174" s="805"/>
      <c r="G174" s="805"/>
      <c r="H174" s="402">
        <v>4127</v>
      </c>
      <c r="I174" s="38">
        <f t="shared" si="28"/>
        <v>314</v>
      </c>
      <c r="J174" s="522">
        <v>131</v>
      </c>
      <c r="K174" s="522"/>
      <c r="L174" s="323">
        <f t="shared" si="29"/>
        <v>131</v>
      </c>
      <c r="M174" s="312">
        <v>183</v>
      </c>
      <c r="N174" s="308"/>
      <c r="O174" s="308"/>
      <c r="P174" s="38"/>
      <c r="Q174" s="578"/>
      <c r="R174" s="440">
        <f t="shared" si="30"/>
        <v>314</v>
      </c>
      <c r="S174" s="311"/>
      <c r="T174" s="311"/>
      <c r="U174" s="258"/>
    </row>
    <row r="175" spans="1:21" ht="20.25" customHeight="1">
      <c r="A175" s="800"/>
      <c r="B175" s="803"/>
      <c r="C175" s="805"/>
      <c r="D175" s="805"/>
      <c r="E175" s="805"/>
      <c r="F175" s="805"/>
      <c r="G175" s="805"/>
      <c r="H175" s="402">
        <v>4177</v>
      </c>
      <c r="I175" s="38">
        <f t="shared" si="28"/>
        <v>38373</v>
      </c>
      <c r="J175" s="522">
        <v>10417</v>
      </c>
      <c r="K175" s="522"/>
      <c r="L175" s="323">
        <f t="shared" si="29"/>
        <v>10417</v>
      </c>
      <c r="M175" s="312">
        <v>27956</v>
      </c>
      <c r="N175" s="308"/>
      <c r="O175" s="308"/>
      <c r="P175" s="38"/>
      <c r="Q175" s="578"/>
      <c r="R175" s="440">
        <f t="shared" si="30"/>
        <v>38373</v>
      </c>
      <c r="S175" s="311"/>
      <c r="T175" s="311"/>
      <c r="U175" s="258"/>
    </row>
    <row r="176" spans="1:21" ht="20.25" customHeight="1">
      <c r="A176" s="800"/>
      <c r="B176" s="803"/>
      <c r="C176" s="805"/>
      <c r="D176" s="805"/>
      <c r="E176" s="805"/>
      <c r="F176" s="805"/>
      <c r="G176" s="805"/>
      <c r="H176" s="402">
        <v>4217</v>
      </c>
      <c r="I176" s="38">
        <f t="shared" si="28"/>
        <v>4540</v>
      </c>
      <c r="J176" s="522">
        <v>4540</v>
      </c>
      <c r="K176" s="522"/>
      <c r="L176" s="323">
        <f t="shared" si="29"/>
        <v>4540</v>
      </c>
      <c r="M176" s="312"/>
      <c r="N176" s="308"/>
      <c r="O176" s="308"/>
      <c r="P176" s="38"/>
      <c r="Q176" s="578"/>
      <c r="R176" s="440">
        <f t="shared" si="30"/>
        <v>4540</v>
      </c>
      <c r="S176" s="311"/>
      <c r="T176" s="311"/>
      <c r="U176" s="258"/>
    </row>
    <row r="177" spans="1:21" ht="20.25" customHeight="1">
      <c r="A177" s="801"/>
      <c r="B177" s="804"/>
      <c r="C177" s="806"/>
      <c r="D177" s="806"/>
      <c r="E177" s="806"/>
      <c r="F177" s="806"/>
      <c r="G177" s="806"/>
      <c r="H177" s="485">
        <v>4307</v>
      </c>
      <c r="I177" s="38">
        <f t="shared" si="28"/>
        <v>2960</v>
      </c>
      <c r="J177" s="522">
        <v>400</v>
      </c>
      <c r="K177" s="522"/>
      <c r="L177" s="323">
        <f t="shared" si="29"/>
        <v>400</v>
      </c>
      <c r="M177" s="312">
        <v>2560</v>
      </c>
      <c r="N177" s="308"/>
      <c r="O177" s="308"/>
      <c r="P177" s="38"/>
      <c r="Q177" s="578"/>
      <c r="R177" s="440">
        <f t="shared" si="30"/>
        <v>2960</v>
      </c>
      <c r="S177" s="311"/>
      <c r="T177" s="311"/>
      <c r="U177" s="258"/>
    </row>
    <row r="178" spans="1:21" ht="20.25" customHeight="1">
      <c r="A178" s="783" t="s">
        <v>384</v>
      </c>
      <c r="B178" s="810" t="s">
        <v>370</v>
      </c>
      <c r="C178" s="811" t="s">
        <v>330</v>
      </c>
      <c r="D178" s="798">
        <v>2012</v>
      </c>
      <c r="E178" s="798">
        <v>2014</v>
      </c>
      <c r="F178" s="798">
        <v>853</v>
      </c>
      <c r="G178" s="798">
        <v>85395</v>
      </c>
      <c r="H178" s="528" t="s">
        <v>164</v>
      </c>
      <c r="I178" s="391">
        <f>SUM(I179:I191)</f>
        <v>428000</v>
      </c>
      <c r="J178" s="527">
        <f aca="true" t="shared" si="31" ref="J178:R178">SUM(J179:J191)</f>
        <v>162000</v>
      </c>
      <c r="K178" s="527">
        <f t="shared" si="31"/>
        <v>0</v>
      </c>
      <c r="L178" s="527">
        <f t="shared" si="31"/>
        <v>162000</v>
      </c>
      <c r="M178" s="391">
        <f t="shared" si="31"/>
        <v>166000</v>
      </c>
      <c r="N178" s="391">
        <f t="shared" si="31"/>
        <v>100000</v>
      </c>
      <c r="O178" s="391"/>
      <c r="P178" s="391"/>
      <c r="Q178" s="587"/>
      <c r="R178" s="504">
        <f t="shared" si="31"/>
        <v>428000</v>
      </c>
      <c r="S178" s="311">
        <f>L178+M178+N178</f>
        <v>428000</v>
      </c>
      <c r="T178" s="311"/>
      <c r="U178" s="258"/>
    </row>
    <row r="179" spans="1:21" ht="20.25" customHeight="1">
      <c r="A179" s="808"/>
      <c r="B179" s="786"/>
      <c r="C179" s="786"/>
      <c r="D179" s="786"/>
      <c r="E179" s="786"/>
      <c r="F179" s="786"/>
      <c r="G179" s="786"/>
      <c r="H179" s="402">
        <v>3119</v>
      </c>
      <c r="I179" s="38">
        <f aca="true" t="shared" si="32" ref="I179:I185">R179</f>
        <v>44940</v>
      </c>
      <c r="J179" s="522">
        <v>17010</v>
      </c>
      <c r="K179" s="522"/>
      <c r="L179" s="323">
        <f aca="true" t="shared" si="33" ref="L179:L185">J179+K179</f>
        <v>17010</v>
      </c>
      <c r="M179" s="312">
        <v>17430</v>
      </c>
      <c r="N179" s="308">
        <v>10500</v>
      </c>
      <c r="O179" s="308"/>
      <c r="P179" s="38"/>
      <c r="Q179" s="578"/>
      <c r="R179" s="440">
        <f aca="true" t="shared" si="34" ref="R179:R201">SUM(L179:P179)</f>
        <v>44940</v>
      </c>
      <c r="S179" s="311">
        <f>L180+L182+L184+L186+L188+L190</f>
        <v>137700</v>
      </c>
      <c r="T179" s="311">
        <f>M180+M182+M184+M186+M188+M190</f>
        <v>141100</v>
      </c>
      <c r="U179" s="311">
        <f>N180+N182+N184+N186+N188+N190</f>
        <v>85000</v>
      </c>
    </row>
    <row r="180" spans="1:21" ht="20.25" customHeight="1">
      <c r="A180" s="808"/>
      <c r="B180" s="786"/>
      <c r="C180" s="786"/>
      <c r="D180" s="786"/>
      <c r="E180" s="786"/>
      <c r="F180" s="786"/>
      <c r="G180" s="786"/>
      <c r="H180" s="402">
        <v>4017</v>
      </c>
      <c r="I180" s="38">
        <f>R180</f>
        <v>137321</v>
      </c>
      <c r="J180" s="522">
        <v>45368</v>
      </c>
      <c r="K180" s="522">
        <v>1425</v>
      </c>
      <c r="L180" s="323">
        <f>J180+K180</f>
        <v>46793</v>
      </c>
      <c r="M180" s="312">
        <v>57055</v>
      </c>
      <c r="N180" s="308">
        <v>33473</v>
      </c>
      <c r="O180" s="308"/>
      <c r="P180" s="38"/>
      <c r="Q180" s="578"/>
      <c r="R180" s="440">
        <f t="shared" si="34"/>
        <v>137321</v>
      </c>
      <c r="S180" s="311">
        <f>L179+L181+L183+L185+L187+L189+L191</f>
        <v>24300</v>
      </c>
      <c r="T180" s="311">
        <f>M179+M181+M183+M185+M187+M189+M191</f>
        <v>24900</v>
      </c>
      <c r="U180" s="311">
        <f>N179+N181+N183+N185+N187+N189+N191</f>
        <v>15000</v>
      </c>
    </row>
    <row r="181" spans="1:21" ht="20.25" customHeight="1">
      <c r="A181" s="808"/>
      <c r="B181" s="786"/>
      <c r="C181" s="786"/>
      <c r="D181" s="786"/>
      <c r="E181" s="786"/>
      <c r="F181" s="786"/>
      <c r="G181" s="786"/>
      <c r="H181" s="402">
        <v>4019</v>
      </c>
      <c r="I181" s="38">
        <f>R181</f>
        <v>7272</v>
      </c>
      <c r="J181" s="522">
        <v>2403</v>
      </c>
      <c r="K181" s="522">
        <v>75</v>
      </c>
      <c r="L181" s="323">
        <f>J181+K181</f>
        <v>2478</v>
      </c>
      <c r="M181" s="312">
        <v>3021</v>
      </c>
      <c r="N181" s="308">
        <v>1773</v>
      </c>
      <c r="O181" s="308"/>
      <c r="P181" s="38"/>
      <c r="Q181" s="578"/>
      <c r="R181" s="440">
        <f t="shared" si="34"/>
        <v>7272</v>
      </c>
      <c r="S181" s="311"/>
      <c r="T181" s="311"/>
      <c r="U181" s="258"/>
    </row>
    <row r="182" spans="1:21" ht="20.25" customHeight="1">
      <c r="A182" s="808"/>
      <c r="B182" s="786"/>
      <c r="C182" s="786"/>
      <c r="D182" s="786"/>
      <c r="E182" s="786"/>
      <c r="F182" s="786"/>
      <c r="G182" s="786"/>
      <c r="H182" s="402">
        <v>4117</v>
      </c>
      <c r="I182" s="38">
        <f>R182</f>
        <v>20824</v>
      </c>
      <c r="J182" s="522">
        <v>9144</v>
      </c>
      <c r="K182" s="522">
        <v>-3799</v>
      </c>
      <c r="L182" s="323">
        <f>J182+K182</f>
        <v>5345</v>
      </c>
      <c r="M182" s="312">
        <v>9755</v>
      </c>
      <c r="N182" s="308">
        <v>5724</v>
      </c>
      <c r="O182" s="308"/>
      <c r="P182" s="38"/>
      <c r="Q182" s="578"/>
      <c r="R182" s="440">
        <f t="shared" si="34"/>
        <v>20824</v>
      </c>
      <c r="S182" s="311"/>
      <c r="T182" s="311"/>
      <c r="U182" s="258"/>
    </row>
    <row r="183" spans="1:21" ht="20.25" customHeight="1">
      <c r="A183" s="808"/>
      <c r="B183" s="786"/>
      <c r="C183" s="786"/>
      <c r="D183" s="786"/>
      <c r="E183" s="786"/>
      <c r="F183" s="786"/>
      <c r="G183" s="786"/>
      <c r="H183" s="402">
        <v>4119</v>
      </c>
      <c r="I183" s="38">
        <f t="shared" si="32"/>
        <v>1102</v>
      </c>
      <c r="J183" s="522">
        <v>484</v>
      </c>
      <c r="K183" s="522">
        <v>-201</v>
      </c>
      <c r="L183" s="323">
        <f t="shared" si="33"/>
        <v>283</v>
      </c>
      <c r="M183" s="312">
        <v>516</v>
      </c>
      <c r="N183" s="308">
        <v>303</v>
      </c>
      <c r="O183" s="308"/>
      <c r="P183" s="38"/>
      <c r="Q183" s="578"/>
      <c r="R183" s="440">
        <f t="shared" si="34"/>
        <v>1102</v>
      </c>
      <c r="S183" s="311"/>
      <c r="T183" s="311"/>
      <c r="U183" s="258"/>
    </row>
    <row r="184" spans="1:21" ht="20.25" customHeight="1">
      <c r="A184" s="808"/>
      <c r="B184" s="786"/>
      <c r="C184" s="786"/>
      <c r="D184" s="786"/>
      <c r="E184" s="786"/>
      <c r="F184" s="786"/>
      <c r="G184" s="786"/>
      <c r="H184" s="402">
        <v>4127</v>
      </c>
      <c r="I184" s="38">
        <f t="shared" si="32"/>
        <v>3528</v>
      </c>
      <c r="J184" s="522">
        <v>1310</v>
      </c>
      <c r="K184" s="522"/>
      <c r="L184" s="323">
        <f t="shared" si="33"/>
        <v>1310</v>
      </c>
      <c r="M184" s="312">
        <v>1397</v>
      </c>
      <c r="N184" s="308">
        <v>821</v>
      </c>
      <c r="O184" s="308"/>
      <c r="P184" s="38"/>
      <c r="Q184" s="578"/>
      <c r="R184" s="440">
        <f t="shared" si="34"/>
        <v>3528</v>
      </c>
      <c r="S184" s="311"/>
      <c r="T184" s="311"/>
      <c r="U184" s="258"/>
    </row>
    <row r="185" spans="1:21" ht="20.25" customHeight="1">
      <c r="A185" s="808"/>
      <c r="B185" s="786"/>
      <c r="C185" s="786"/>
      <c r="D185" s="786"/>
      <c r="E185" s="786"/>
      <c r="F185" s="786"/>
      <c r="G185" s="786"/>
      <c r="H185" s="402">
        <v>4129</v>
      </c>
      <c r="I185" s="38">
        <f t="shared" si="32"/>
        <v>186</v>
      </c>
      <c r="J185" s="522">
        <v>69</v>
      </c>
      <c r="K185" s="522"/>
      <c r="L185" s="323">
        <f t="shared" si="33"/>
        <v>69</v>
      </c>
      <c r="M185" s="312">
        <v>74</v>
      </c>
      <c r="N185" s="308">
        <v>43</v>
      </c>
      <c r="O185" s="308"/>
      <c r="P185" s="38"/>
      <c r="Q185" s="578"/>
      <c r="R185" s="440">
        <f t="shared" si="34"/>
        <v>186</v>
      </c>
      <c r="S185" s="311"/>
      <c r="T185" s="311"/>
      <c r="U185" s="258"/>
    </row>
    <row r="186" spans="1:21" ht="20.25" customHeight="1">
      <c r="A186" s="808"/>
      <c r="B186" s="786"/>
      <c r="C186" s="786"/>
      <c r="D186" s="786"/>
      <c r="E186" s="786"/>
      <c r="F186" s="786"/>
      <c r="G186" s="786"/>
      <c r="H186" s="402">
        <v>4177</v>
      </c>
      <c r="I186" s="38">
        <f aca="true" t="shared" si="35" ref="I186:I191">R186</f>
        <v>17791</v>
      </c>
      <c r="J186" s="522">
        <v>8103</v>
      </c>
      <c r="K186" s="522"/>
      <c r="L186" s="323">
        <f aca="true" t="shared" si="36" ref="L186:L201">J186+K186</f>
        <v>8103</v>
      </c>
      <c r="M186" s="312">
        <v>8263</v>
      </c>
      <c r="N186" s="308">
        <v>1425</v>
      </c>
      <c r="O186" s="308"/>
      <c r="P186" s="38"/>
      <c r="Q186" s="578"/>
      <c r="R186" s="440">
        <f t="shared" si="34"/>
        <v>17791</v>
      </c>
      <c r="S186" s="311"/>
      <c r="T186" s="311"/>
      <c r="U186" s="258"/>
    </row>
    <row r="187" spans="1:21" ht="20.25" customHeight="1">
      <c r="A187" s="808"/>
      <c r="B187" s="786"/>
      <c r="C187" s="786"/>
      <c r="D187" s="786"/>
      <c r="E187" s="786"/>
      <c r="F187" s="786"/>
      <c r="G187" s="786"/>
      <c r="H187" s="402">
        <v>4179</v>
      </c>
      <c r="I187" s="38">
        <f t="shared" si="35"/>
        <v>941</v>
      </c>
      <c r="J187" s="522">
        <v>429</v>
      </c>
      <c r="K187" s="522"/>
      <c r="L187" s="323">
        <f t="shared" si="36"/>
        <v>429</v>
      </c>
      <c r="M187" s="312">
        <v>437</v>
      </c>
      <c r="N187" s="308">
        <v>75</v>
      </c>
      <c r="O187" s="308"/>
      <c r="P187" s="38"/>
      <c r="Q187" s="578"/>
      <c r="R187" s="440">
        <f t="shared" si="34"/>
        <v>941</v>
      </c>
      <c r="S187" s="311"/>
      <c r="T187" s="311"/>
      <c r="U187" s="258"/>
    </row>
    <row r="188" spans="1:21" ht="20.25" customHeight="1">
      <c r="A188" s="808"/>
      <c r="B188" s="786"/>
      <c r="C188" s="786"/>
      <c r="D188" s="786"/>
      <c r="E188" s="786"/>
      <c r="F188" s="786"/>
      <c r="G188" s="786"/>
      <c r="H188" s="402">
        <v>4217</v>
      </c>
      <c r="I188" s="38">
        <f t="shared" si="35"/>
        <v>4439</v>
      </c>
      <c r="J188" s="522">
        <v>2925</v>
      </c>
      <c r="K188" s="522"/>
      <c r="L188" s="323">
        <f t="shared" si="36"/>
        <v>2925</v>
      </c>
      <c r="M188" s="312">
        <v>1514</v>
      </c>
      <c r="N188" s="308"/>
      <c r="O188" s="308"/>
      <c r="P188" s="38"/>
      <c r="Q188" s="578"/>
      <c r="R188" s="440">
        <f t="shared" si="34"/>
        <v>4439</v>
      </c>
      <c r="S188" s="311"/>
      <c r="T188" s="311"/>
      <c r="U188" s="258"/>
    </row>
    <row r="189" spans="1:21" ht="20.25" customHeight="1">
      <c r="A189" s="808"/>
      <c r="B189" s="786"/>
      <c r="C189" s="786"/>
      <c r="D189" s="786"/>
      <c r="E189" s="786"/>
      <c r="F189" s="786"/>
      <c r="G189" s="786"/>
      <c r="H189" s="402">
        <v>4219</v>
      </c>
      <c r="I189" s="38">
        <f t="shared" si="35"/>
        <v>235</v>
      </c>
      <c r="J189" s="522">
        <v>155</v>
      </c>
      <c r="K189" s="522"/>
      <c r="L189" s="323">
        <f t="shared" si="36"/>
        <v>155</v>
      </c>
      <c r="M189" s="312">
        <v>80</v>
      </c>
      <c r="N189" s="308"/>
      <c r="O189" s="308"/>
      <c r="P189" s="38"/>
      <c r="Q189" s="578"/>
      <c r="R189" s="440">
        <f t="shared" si="34"/>
        <v>235</v>
      </c>
      <c r="S189" s="311"/>
      <c r="T189" s="311"/>
      <c r="U189" s="258"/>
    </row>
    <row r="190" spans="1:21" ht="20.25" customHeight="1">
      <c r="A190" s="808"/>
      <c r="B190" s="786"/>
      <c r="C190" s="786"/>
      <c r="D190" s="786"/>
      <c r="E190" s="786"/>
      <c r="F190" s="786"/>
      <c r="G190" s="786"/>
      <c r="H190" s="402">
        <v>4307</v>
      </c>
      <c r="I190" s="38">
        <f t="shared" si="35"/>
        <v>179897</v>
      </c>
      <c r="J190" s="522">
        <v>70850</v>
      </c>
      <c r="K190" s="522">
        <v>2374</v>
      </c>
      <c r="L190" s="323">
        <f t="shared" si="36"/>
        <v>73224</v>
      </c>
      <c r="M190" s="312">
        <v>63116</v>
      </c>
      <c r="N190" s="308">
        <v>43557</v>
      </c>
      <c r="O190" s="308"/>
      <c r="P190" s="38"/>
      <c r="Q190" s="578"/>
      <c r="R190" s="440">
        <f t="shared" si="34"/>
        <v>179897</v>
      </c>
      <c r="S190" s="311"/>
      <c r="T190" s="311"/>
      <c r="U190" s="258"/>
    </row>
    <row r="191" spans="1:21" ht="20.25" customHeight="1">
      <c r="A191" s="809"/>
      <c r="B191" s="799"/>
      <c r="C191" s="799"/>
      <c r="D191" s="799"/>
      <c r="E191" s="799"/>
      <c r="F191" s="799"/>
      <c r="G191" s="799"/>
      <c r="H191" s="402">
        <v>4309</v>
      </c>
      <c r="I191" s="38">
        <f t="shared" si="35"/>
        <v>9524</v>
      </c>
      <c r="J191" s="522">
        <v>3750</v>
      </c>
      <c r="K191" s="522">
        <v>126</v>
      </c>
      <c r="L191" s="323">
        <f t="shared" si="36"/>
        <v>3876</v>
      </c>
      <c r="M191" s="312">
        <v>3342</v>
      </c>
      <c r="N191" s="308">
        <v>2306</v>
      </c>
      <c r="O191" s="308"/>
      <c r="P191" s="38"/>
      <c r="Q191" s="578"/>
      <c r="R191" s="440">
        <f t="shared" si="34"/>
        <v>9524</v>
      </c>
      <c r="S191" s="311"/>
      <c r="T191" s="311"/>
      <c r="U191" s="258"/>
    </row>
    <row r="192" spans="1:21" ht="20.25" customHeight="1">
      <c r="A192" s="783" t="s">
        <v>394</v>
      </c>
      <c r="B192" s="794" t="s">
        <v>376</v>
      </c>
      <c r="C192" s="796" t="s">
        <v>250</v>
      </c>
      <c r="D192" s="794">
        <v>2012</v>
      </c>
      <c r="E192" s="794">
        <v>2014</v>
      </c>
      <c r="F192" s="794">
        <v>854</v>
      </c>
      <c r="G192" s="794">
        <v>85401</v>
      </c>
      <c r="H192" s="155" t="s">
        <v>164</v>
      </c>
      <c r="I192" s="391">
        <f aca="true" t="shared" si="37" ref="I192:N192">SUM(I193:I195)</f>
        <v>198000</v>
      </c>
      <c r="J192" s="527">
        <f t="shared" si="37"/>
        <v>36000</v>
      </c>
      <c r="K192" s="527">
        <f t="shared" si="37"/>
        <v>0</v>
      </c>
      <c r="L192" s="527">
        <f t="shared" si="37"/>
        <v>36000</v>
      </c>
      <c r="M192" s="391">
        <f t="shared" si="37"/>
        <v>108000</v>
      </c>
      <c r="N192" s="391">
        <f t="shared" si="37"/>
        <v>54000</v>
      </c>
      <c r="O192" s="391"/>
      <c r="P192" s="391"/>
      <c r="Q192" s="587"/>
      <c r="R192" s="504">
        <f>SUM(R193:R195)</f>
        <v>198000</v>
      </c>
      <c r="S192" s="311">
        <f>L192+M192+N192</f>
        <v>198000</v>
      </c>
      <c r="T192" s="311"/>
      <c r="U192" s="258"/>
    </row>
    <row r="193" spans="1:21" ht="20.25" customHeight="1">
      <c r="A193" s="783"/>
      <c r="B193" s="794"/>
      <c r="C193" s="796"/>
      <c r="D193" s="794"/>
      <c r="E193" s="794"/>
      <c r="F193" s="794"/>
      <c r="G193" s="794"/>
      <c r="H193" s="402">
        <v>4010</v>
      </c>
      <c r="I193" s="38">
        <f>L193+M193+N193</f>
        <v>165660</v>
      </c>
      <c r="J193" s="522">
        <v>30120</v>
      </c>
      <c r="K193" s="522"/>
      <c r="L193" s="323">
        <f>J193+K193</f>
        <v>30120</v>
      </c>
      <c r="M193" s="312">
        <v>90360</v>
      </c>
      <c r="N193" s="308">
        <v>45180</v>
      </c>
      <c r="O193" s="308"/>
      <c r="P193" s="38"/>
      <c r="Q193" s="578"/>
      <c r="R193" s="440">
        <f>K193+M193+N193+L193</f>
        <v>165660</v>
      </c>
      <c r="S193" s="311"/>
      <c r="T193" s="311"/>
      <c r="U193" s="258"/>
    </row>
    <row r="194" spans="1:21" ht="20.25" customHeight="1">
      <c r="A194" s="783"/>
      <c r="B194" s="794"/>
      <c r="C194" s="796"/>
      <c r="D194" s="794"/>
      <c r="E194" s="794"/>
      <c r="F194" s="794"/>
      <c r="G194" s="794"/>
      <c r="H194" s="402">
        <v>4110</v>
      </c>
      <c r="I194" s="38">
        <f>L194+M194+N194</f>
        <v>28380</v>
      </c>
      <c r="J194" s="522">
        <v>5160</v>
      </c>
      <c r="K194" s="522"/>
      <c r="L194" s="323">
        <f>J194+K194</f>
        <v>5160</v>
      </c>
      <c r="M194" s="312">
        <v>15480</v>
      </c>
      <c r="N194" s="308">
        <v>7740</v>
      </c>
      <c r="O194" s="308"/>
      <c r="P194" s="38"/>
      <c r="Q194" s="578"/>
      <c r="R194" s="440">
        <f>K194+M194+N194+L194</f>
        <v>28380</v>
      </c>
      <c r="S194" s="311"/>
      <c r="T194" s="311"/>
      <c r="U194" s="258"/>
    </row>
    <row r="195" spans="1:21" ht="20.25" customHeight="1">
      <c r="A195" s="784"/>
      <c r="B195" s="795"/>
      <c r="C195" s="797"/>
      <c r="D195" s="795"/>
      <c r="E195" s="795"/>
      <c r="F195" s="795"/>
      <c r="G195" s="795"/>
      <c r="H195" s="402">
        <v>4120</v>
      </c>
      <c r="I195" s="38">
        <f>L195+M195+N195</f>
        <v>3960</v>
      </c>
      <c r="J195" s="522">
        <v>720</v>
      </c>
      <c r="K195" s="522"/>
      <c r="L195" s="323">
        <f>J195+K195</f>
        <v>720</v>
      </c>
      <c r="M195" s="312">
        <v>2160</v>
      </c>
      <c r="N195" s="308">
        <v>1080</v>
      </c>
      <c r="O195" s="308"/>
      <c r="P195" s="38"/>
      <c r="Q195" s="578"/>
      <c r="R195" s="440">
        <f>K195+M195+N195+L195</f>
        <v>3960</v>
      </c>
      <c r="S195" s="311"/>
      <c r="T195" s="311"/>
      <c r="U195" s="258"/>
    </row>
    <row r="196" spans="1:21" ht="20.25" customHeight="1">
      <c r="A196" s="482" t="s">
        <v>409</v>
      </c>
      <c r="B196" s="253" t="s">
        <v>326</v>
      </c>
      <c r="C196" s="333" t="s">
        <v>250</v>
      </c>
      <c r="D196" s="402">
        <v>2012</v>
      </c>
      <c r="E196" s="402">
        <v>2015</v>
      </c>
      <c r="F196" s="402">
        <v>854</v>
      </c>
      <c r="G196" s="402">
        <v>85401</v>
      </c>
      <c r="H196" s="402">
        <v>4360</v>
      </c>
      <c r="I196" s="38">
        <f>R196</f>
        <v>6000</v>
      </c>
      <c r="J196" s="323">
        <v>1500</v>
      </c>
      <c r="K196" s="522"/>
      <c r="L196" s="323">
        <f>J196+K196</f>
        <v>1500</v>
      </c>
      <c r="M196" s="312">
        <v>1500</v>
      </c>
      <c r="N196" s="308">
        <v>1500</v>
      </c>
      <c r="O196" s="308">
        <v>1500</v>
      </c>
      <c r="P196" s="38"/>
      <c r="Q196" s="578"/>
      <c r="R196" s="440">
        <f>SUM(L196:P196)</f>
        <v>6000</v>
      </c>
      <c r="S196" s="311"/>
      <c r="T196" s="311"/>
      <c r="U196" s="258"/>
    </row>
    <row r="197" spans="1:18" ht="36" customHeight="1">
      <c r="A197" s="482" t="s">
        <v>410</v>
      </c>
      <c r="B197" s="253" t="s">
        <v>436</v>
      </c>
      <c r="C197" s="333" t="s">
        <v>257</v>
      </c>
      <c r="D197" s="402">
        <v>2011</v>
      </c>
      <c r="E197" s="402">
        <v>2014</v>
      </c>
      <c r="F197" s="402">
        <v>900</v>
      </c>
      <c r="G197" s="402">
        <v>90002</v>
      </c>
      <c r="H197" s="402">
        <v>4300</v>
      </c>
      <c r="I197" s="38">
        <v>572000</v>
      </c>
      <c r="J197" s="323">
        <v>200000</v>
      </c>
      <c r="K197" s="323"/>
      <c r="L197" s="323">
        <f t="shared" si="36"/>
        <v>200000</v>
      </c>
      <c r="M197" s="38">
        <v>250000</v>
      </c>
      <c r="N197" s="38">
        <v>250000</v>
      </c>
      <c r="O197" s="38"/>
      <c r="P197" s="38"/>
      <c r="Q197" s="578"/>
      <c r="R197" s="440">
        <f t="shared" si="34"/>
        <v>700000</v>
      </c>
    </row>
    <row r="198" spans="1:18" ht="20.25" customHeight="1">
      <c r="A198" s="482" t="s">
        <v>411</v>
      </c>
      <c r="B198" s="253" t="s">
        <v>406</v>
      </c>
      <c r="C198" s="333" t="s">
        <v>257</v>
      </c>
      <c r="D198" s="402">
        <v>2013</v>
      </c>
      <c r="E198" s="402">
        <v>2015</v>
      </c>
      <c r="F198" s="402">
        <v>900</v>
      </c>
      <c r="G198" s="402">
        <v>90002</v>
      </c>
      <c r="H198" s="402">
        <v>4300</v>
      </c>
      <c r="I198" s="38">
        <f>R198</f>
        <v>11000000</v>
      </c>
      <c r="J198" s="323"/>
      <c r="K198" s="323"/>
      <c r="L198" s="323">
        <f>J198+K198</f>
        <v>0</v>
      </c>
      <c r="M198" s="38">
        <v>3000000</v>
      </c>
      <c r="N198" s="38">
        <v>4000000</v>
      </c>
      <c r="O198" s="38">
        <v>4000000</v>
      </c>
      <c r="P198" s="38"/>
      <c r="Q198" s="578"/>
      <c r="R198" s="440">
        <f>SUM(L198:P198)</f>
        <v>11000000</v>
      </c>
    </row>
    <row r="199" spans="1:18" ht="20.25" customHeight="1">
      <c r="A199" s="482" t="s">
        <v>412</v>
      </c>
      <c r="B199" s="253" t="s">
        <v>243</v>
      </c>
      <c r="C199" s="333" t="s">
        <v>173</v>
      </c>
      <c r="D199" s="402">
        <v>2011</v>
      </c>
      <c r="E199" s="402">
        <v>2013</v>
      </c>
      <c r="F199" s="402">
        <v>900</v>
      </c>
      <c r="G199" s="402">
        <v>90003</v>
      </c>
      <c r="H199" s="402">
        <v>4300</v>
      </c>
      <c r="I199" s="38">
        <f>R199+6000</f>
        <v>1006000</v>
      </c>
      <c r="J199" s="323">
        <v>500000</v>
      </c>
      <c r="K199" s="323"/>
      <c r="L199" s="323">
        <f t="shared" si="36"/>
        <v>500000</v>
      </c>
      <c r="M199" s="38">
        <v>500000</v>
      </c>
      <c r="N199" s="38"/>
      <c r="O199" s="38"/>
      <c r="P199" s="38"/>
      <c r="Q199" s="578"/>
      <c r="R199" s="440">
        <f t="shared" si="34"/>
        <v>1000000</v>
      </c>
    </row>
    <row r="200" spans="1:18" ht="27" customHeight="1">
      <c r="A200" s="482" t="s">
        <v>414</v>
      </c>
      <c r="B200" s="253" t="s">
        <v>242</v>
      </c>
      <c r="C200" s="333" t="s">
        <v>173</v>
      </c>
      <c r="D200" s="402">
        <v>2011</v>
      </c>
      <c r="E200" s="402">
        <v>2012</v>
      </c>
      <c r="F200" s="402">
        <v>900</v>
      </c>
      <c r="G200" s="402">
        <v>90004</v>
      </c>
      <c r="H200" s="402">
        <v>4300</v>
      </c>
      <c r="I200" s="38">
        <f>R200+20000</f>
        <v>220000</v>
      </c>
      <c r="J200" s="323">
        <v>200000</v>
      </c>
      <c r="K200" s="323"/>
      <c r="L200" s="323">
        <f t="shared" si="36"/>
        <v>200000</v>
      </c>
      <c r="M200" s="38"/>
      <c r="N200" s="38"/>
      <c r="O200" s="38"/>
      <c r="P200" s="38"/>
      <c r="Q200" s="578"/>
      <c r="R200" s="440">
        <f t="shared" si="34"/>
        <v>200000</v>
      </c>
    </row>
    <row r="201" spans="1:18" ht="20.25" customHeight="1">
      <c r="A201" s="482" t="s">
        <v>431</v>
      </c>
      <c r="B201" s="253" t="s">
        <v>266</v>
      </c>
      <c r="C201" s="333" t="s">
        <v>173</v>
      </c>
      <c r="D201" s="402">
        <v>2011</v>
      </c>
      <c r="E201" s="402">
        <v>2014</v>
      </c>
      <c r="F201" s="402">
        <v>900</v>
      </c>
      <c r="G201" s="402">
        <v>90015</v>
      </c>
      <c r="H201" s="402">
        <v>4260</v>
      </c>
      <c r="I201" s="38">
        <f>SUM(J201:N201)</f>
        <v>4010000</v>
      </c>
      <c r="J201" s="323">
        <v>980000</v>
      </c>
      <c r="K201" s="323"/>
      <c r="L201" s="323">
        <f t="shared" si="36"/>
        <v>980000</v>
      </c>
      <c r="M201" s="38">
        <v>1000000</v>
      </c>
      <c r="N201" s="38">
        <v>1050000</v>
      </c>
      <c r="O201" s="38"/>
      <c r="P201" s="38"/>
      <c r="Q201" s="578"/>
      <c r="R201" s="440">
        <f t="shared" si="34"/>
        <v>3030000</v>
      </c>
    </row>
    <row r="202" spans="1:18" ht="33" customHeight="1">
      <c r="A202" s="482" t="s">
        <v>432</v>
      </c>
      <c r="B202" s="484" t="s">
        <v>244</v>
      </c>
      <c r="C202" s="454" t="s">
        <v>173</v>
      </c>
      <c r="D202" s="485">
        <v>2011</v>
      </c>
      <c r="E202" s="485">
        <v>2014</v>
      </c>
      <c r="F202" s="485">
        <v>900</v>
      </c>
      <c r="G202" s="485">
        <v>90015</v>
      </c>
      <c r="H202" s="485">
        <v>4270</v>
      </c>
      <c r="I202" s="486">
        <f>R202+4000</f>
        <v>794000</v>
      </c>
      <c r="J202" s="473">
        <v>250000</v>
      </c>
      <c r="K202" s="473"/>
      <c r="L202" s="473">
        <f>J202+K202</f>
        <v>250000</v>
      </c>
      <c r="M202" s="486">
        <v>270000</v>
      </c>
      <c r="N202" s="486">
        <v>270000</v>
      </c>
      <c r="O202" s="486"/>
      <c r="P202" s="486"/>
      <c r="Q202" s="579"/>
      <c r="R202" s="476">
        <f>SUM(L202:P202)</f>
        <v>790000</v>
      </c>
    </row>
    <row r="203" spans="1:18" ht="20.25" customHeight="1">
      <c r="A203" s="482" t="s">
        <v>433</v>
      </c>
      <c r="B203" s="489" t="s">
        <v>424</v>
      </c>
      <c r="C203" s="545" t="s">
        <v>434</v>
      </c>
      <c r="D203" s="548">
        <v>2013</v>
      </c>
      <c r="E203" s="548">
        <v>2015</v>
      </c>
      <c r="F203" s="485">
        <v>900</v>
      </c>
      <c r="G203" s="485">
        <v>90095</v>
      </c>
      <c r="H203" s="485">
        <v>4300</v>
      </c>
      <c r="I203" s="486">
        <f>R203</f>
        <v>750000</v>
      </c>
      <c r="J203" s="473">
        <v>0</v>
      </c>
      <c r="K203" s="473"/>
      <c r="L203" s="473">
        <f>J203+K203</f>
        <v>0</v>
      </c>
      <c r="M203" s="486">
        <v>250000</v>
      </c>
      <c r="N203" s="486">
        <v>250000</v>
      </c>
      <c r="O203" s="486">
        <v>250000</v>
      </c>
      <c r="P203" s="486"/>
      <c r="Q203" s="579"/>
      <c r="R203" s="476">
        <f>SUM(L203:P203)</f>
        <v>750000</v>
      </c>
    </row>
    <row r="204" spans="1:18" ht="31.5" customHeight="1">
      <c r="A204" s="482" t="s">
        <v>435</v>
      </c>
      <c r="B204" s="253" t="s">
        <v>329</v>
      </c>
      <c r="C204" s="333" t="s">
        <v>250</v>
      </c>
      <c r="D204" s="402">
        <v>2012</v>
      </c>
      <c r="E204" s="402">
        <v>2015</v>
      </c>
      <c r="F204" s="402">
        <v>926</v>
      </c>
      <c r="G204" s="402">
        <v>92605</v>
      </c>
      <c r="H204" s="402">
        <v>4300</v>
      </c>
      <c r="I204" s="38">
        <f>R204</f>
        <v>47400</v>
      </c>
      <c r="J204" s="323">
        <v>2400</v>
      </c>
      <c r="K204" s="522"/>
      <c r="L204" s="323">
        <f>J204+K204</f>
        <v>2400</v>
      </c>
      <c r="M204" s="312">
        <v>15000</v>
      </c>
      <c r="N204" s="308">
        <v>15000</v>
      </c>
      <c r="O204" s="308">
        <v>15000</v>
      </c>
      <c r="P204" s="38"/>
      <c r="Q204" s="578"/>
      <c r="R204" s="440">
        <f>SUM(L204:P204)</f>
        <v>47400</v>
      </c>
    </row>
    <row r="205" spans="1:18" ht="12.75">
      <c r="A205" s="67"/>
      <c r="B205" s="67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7"/>
    </row>
    <row r="206" spans="1:3" ht="15">
      <c r="A206" s="28"/>
      <c r="B206" s="34"/>
      <c r="C206" s="35"/>
    </row>
    <row r="207" spans="1:3" ht="15">
      <c r="A207" s="28"/>
      <c r="B207" s="36"/>
      <c r="C207" s="35"/>
    </row>
    <row r="208" spans="1:3" ht="15">
      <c r="A208" s="37"/>
      <c r="B208" s="36"/>
      <c r="C208" s="35"/>
    </row>
    <row r="209" spans="1:3" ht="12.75">
      <c r="A209" s="28"/>
      <c r="B209" s="28"/>
      <c r="C209" s="35"/>
    </row>
  </sheetData>
  <sheetProtection/>
  <mergeCells count="90">
    <mergeCell ref="P22:P23"/>
    <mergeCell ref="R22:R23"/>
    <mergeCell ref="H22:H23"/>
    <mergeCell ref="I22:I23"/>
    <mergeCell ref="J22:J23"/>
    <mergeCell ref="L22:L23"/>
    <mergeCell ref="M22:M23"/>
    <mergeCell ref="N22:N23"/>
    <mergeCell ref="A120:A132"/>
    <mergeCell ref="F89:F91"/>
    <mergeCell ref="G89:G91"/>
    <mergeCell ref="C88:C91"/>
    <mergeCell ref="D88:D91"/>
    <mergeCell ref="E88:E91"/>
    <mergeCell ref="B120:B132"/>
    <mergeCell ref="C120:C132"/>
    <mergeCell ref="D120:D132"/>
    <mergeCell ref="E120:E132"/>
    <mergeCell ref="F120:F132"/>
    <mergeCell ref="G120:G132"/>
    <mergeCell ref="F88:H88"/>
    <mergeCell ref="A88:A91"/>
    <mergeCell ref="B88:B91"/>
    <mergeCell ref="A7:R8"/>
    <mergeCell ref="D9:E10"/>
    <mergeCell ref="F9:H10"/>
    <mergeCell ref="M10:M12"/>
    <mergeCell ref="N10:N12"/>
    <mergeCell ref="A9:A12"/>
    <mergeCell ref="E11:E12"/>
    <mergeCell ref="J10:L11"/>
    <mergeCell ref="G11:G12"/>
    <mergeCell ref="H11:H12"/>
    <mergeCell ref="I9:I12"/>
    <mergeCell ref="B9:B12"/>
    <mergeCell ref="C9:C12"/>
    <mergeCell ref="D11:D12"/>
    <mergeCell ref="J9:Q9"/>
    <mergeCell ref="Q10:Q12"/>
    <mergeCell ref="F44:H44"/>
    <mergeCell ref="F20:H20"/>
    <mergeCell ref="B21:B22"/>
    <mergeCell ref="F21:H21"/>
    <mergeCell ref="F22:F23"/>
    <mergeCell ref="G22:G23"/>
    <mergeCell ref="O10:O12"/>
    <mergeCell ref="P10:P12"/>
    <mergeCell ref="O22:O23"/>
    <mergeCell ref="A85:A87"/>
    <mergeCell ref="B85:B87"/>
    <mergeCell ref="C85:C87"/>
    <mergeCell ref="D85:D87"/>
    <mergeCell ref="E85:E87"/>
    <mergeCell ref="F85:H85"/>
    <mergeCell ref="F86:F87"/>
    <mergeCell ref="B178:B191"/>
    <mergeCell ref="C178:C191"/>
    <mergeCell ref="D178:D191"/>
    <mergeCell ref="G171:G177"/>
    <mergeCell ref="F11:F12"/>
    <mergeCell ref="R9:R12"/>
    <mergeCell ref="G86:G87"/>
    <mergeCell ref="F36:H36"/>
    <mergeCell ref="B26:B27"/>
    <mergeCell ref="F26:H26"/>
    <mergeCell ref="E178:E191"/>
    <mergeCell ref="F178:F191"/>
    <mergeCell ref="G178:G191"/>
    <mergeCell ref="A171:A177"/>
    <mergeCell ref="B171:B177"/>
    <mergeCell ref="C171:C177"/>
    <mergeCell ref="D171:D177"/>
    <mergeCell ref="E171:E177"/>
    <mergeCell ref="F171:F177"/>
    <mergeCell ref="A178:A191"/>
    <mergeCell ref="G192:G195"/>
    <mergeCell ref="A192:A195"/>
    <mergeCell ref="B192:B195"/>
    <mergeCell ref="C192:C195"/>
    <mergeCell ref="D192:D195"/>
    <mergeCell ref="E192:E195"/>
    <mergeCell ref="F192:F195"/>
    <mergeCell ref="A105:A107"/>
    <mergeCell ref="B105:B107"/>
    <mergeCell ref="C105:C107"/>
    <mergeCell ref="D105:D107"/>
    <mergeCell ref="E105:E107"/>
    <mergeCell ref="F105:H105"/>
    <mergeCell ref="F106:F107"/>
    <mergeCell ref="G106:G107"/>
  </mergeCells>
  <printOptions horizontalCentered="1"/>
  <pageMargins left="0.3937007874015748" right="0.1968503937007874" top="0.2755905511811024" bottom="0.43307086614173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2012-12-19T15:55:28Z</cp:lastPrinted>
  <dcterms:created xsi:type="dcterms:W3CDTF">2011-02-22T14:35:52Z</dcterms:created>
  <dcterms:modified xsi:type="dcterms:W3CDTF">2012-12-19T15:55:55Z</dcterms:modified>
  <cp:category/>
  <cp:version/>
  <cp:contentType/>
  <cp:contentStatus/>
</cp:coreProperties>
</file>