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5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externalReferences>
    <externalReference r:id="rId10"/>
  </externalReferences>
  <definedNames/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<sst xmlns="http://schemas.openxmlformats.org/spreadsheetml/2006/main" count="963" uniqueCount="449">
  <si>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</si>
  <si>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</si>
  <si>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</si>
  <si>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</si>
  <si>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</si>
  <si>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</si>
  <si>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</si>
  <si>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</si>
  <si>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</si>
  <si>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</si>
  <si>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</si>
  <si>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</si>
  <si>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</si>
  <si>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</si>
  <si>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</si>
  <si>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</si>
  <si>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</si>
  <si>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</si>
  <si>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</si>
  <si>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</si>
  <si>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</si>
  <si>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</si>
  <si>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</si>
  <si>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</si>
  <si>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</si>
  <si>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</si>
  <si>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</si>
  <si>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</si>
  <si>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</si>
  <si>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</si>
  <si>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</si>
  <si>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</si>
  <si>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</si>
  <si>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</si>
  <si>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</si>
  <si>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</si>
  <si>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</si>
  <si>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</si>
  <si>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</si>
  <si>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</si>
  <si>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</si>
  <si>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</si>
  <si>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</si>
  <si>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</si>
  <si>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</si>
  <si>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</si>
  <si>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</si>
  <si>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</si>
  <si>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</si>
  <si>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</si>
  <si>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</si>
  <si>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</si>
  <si>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</si>
  <si>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</si>
  <si>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</si>
  <si>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</si>
  <si>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</si>
  <si>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</si>
  <si>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</si>
  <si>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</si>
  <si>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</si>
  <si>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</si>
  <si>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</si>
  <si>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</si>
  <si>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</si>
  <si>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</si>
  <si>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</si>
  <si>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</si>
  <si>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</si>
  <si>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</si>
  <si>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</si>
  <si>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</si>
  <si>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</si>
  <si>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</si>
  <si>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</si>
  <si>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</si>
  <si>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</si>
  <si>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</si>
  <si>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</si>
  <si>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</si>
  <si>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</si>
  <si>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</si>
  <si>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</si>
  <si>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</si>
  <si>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</si>
  <si>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</si>
  <si>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</si>
  <si>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</si>
  <si>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</si>
  <si>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</si>
  <si>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</si>
  <si>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</si>
  <si>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</si>
  <si>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</si>
  <si>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</si>
  <si>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</si>
  <si>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</si>
  <si>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</si>
  <si>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</si>
  <si>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</si>
  <si>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</si>
  <si>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</si>
  <si>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</si>
  <si>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</si>
  <si>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</si>
  <si>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</si>
  <si>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</si>
  <si>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</si>
  <si>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</si>
  <si>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</si>
  <si>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</si>
  <si>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</si>
  <si>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</si>
  <si>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</si>
  <si>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</si>
  <si>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</si>
  <si>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</si>
  <si>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</si>
  <si>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</si>
  <si>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</si>
  <si>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</si>
  <si>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</si>
  <si>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</si>
  <si>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</si>
  <si>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</si>
  <si>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</si>
  <si>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</si>
  <si>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</si>
  <si>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</si>
  <si>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</si>
  <si>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</si>
  <si>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</si>
  <si>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</si>
  <si>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</si>
  <si>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</si>
  <si>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</si>
  <si>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</si>
  <si>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</si>
  <si>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</si>
  <si>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</si>
  <si>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</si>
  <si>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</si>
  <si>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</si>
  <si>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</si>
  <si>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</si>
  <si>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</si>
  <si>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</si>
  <si>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</si>
  <si>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</si>
  <si>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</si>
  <si>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</si>
  <si>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</si>
  <si>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</si>
  <si>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</si>
  <si>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</si>
  <si>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</si>
  <si>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</si>
  <si>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</si>
  <si>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</si>
  <si>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</si>
  <si>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</si>
  <si>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</si>
  <si>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</si>
  <si>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</si>
  <si>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</si>
  <si>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</si>
  <si>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</si>
  <si>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</si>
  <si>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</si>
  <si>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</si>
  <si>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</si>
  <si>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</si>
  <si>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</si>
  <si>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</si>
  <si>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</si>
  <si>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</si>
  <si>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</si>
  <si>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</si>
  <si>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</si>
  <si>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</si>
  <si>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</si>
  <si>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</si>
  <si>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</si>
  <si>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</si>
  <si>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</si>
  <si>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</si>
  <si>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</si>
  <si>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</si>
  <si>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</si>
  <si>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</si>
  <si>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</si>
  <si>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</si>
  <si>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</si>
  <si>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</si>
  <si>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</si>
  <si>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</si>
  <si>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</si>
  <si>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</si>
  <si>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</si>
  <si>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</si>
  <si>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</si>
  <si>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</si>
  <si>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</si>
  <si>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</si>
  <si>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</si>
  <si>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</si>
  <si>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</si>
  <si>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</si>
  <si>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</si>
  <si>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</si>
  <si>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</si>
  <si>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</si>
  <si>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</si>
  <si>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</si>
  <si>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</si>
  <si>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</si>
  <si>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</si>
  <si>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</si>
  <si>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</si>
  <si>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</si>
  <si>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</si>
  <si>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</si>
  <si>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</si>
  <si>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</si>
  <si>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</si>
  <si>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</si>
  <si>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</si>
  <si>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</si>
  <si>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</si>
  <si>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</si>
  <si>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</si>
  <si>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</si>
  <si>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</si>
  <si>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</si>
  <si>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</si>
  <si>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</si>
  <si>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</si>
  <si>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</si>
  <si>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</si>
  <si>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</si>
  <si>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</si>
  <si>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</si>
  <si>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</si>
  <si>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</si>
  <si>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</si>
  <si>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</si>
  <si>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</si>
  <si>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</si>
  <si>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</si>
  <si>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</si>
  <si>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</si>
  <si>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</si>
  <si>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</si>
  <si>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</si>
  <si>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</si>
  <si>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</si>
  <si>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</si>
  <si>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</si>
  <si>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</si>
  <si>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</si>
  <si>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</si>
  <si>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</si>
  <si>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</si>
  <si>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</si>
  <si>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</si>
  <si>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</si>
  <si>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</si>
  <si>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</si>
  <si>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</si>
  <si>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</si>
  <si>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</si>
  <si>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</si>
  <si>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</si>
  <si>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</si>
  <si>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</si>
  <si>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</si>
  <si>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</si>
  <si>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</si>
  <si>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</si>
  <si>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</si>
  <si>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</si>
  <si>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</si>
  <si>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</si>
  <si>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</si>
  <si>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</si>
  <si>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</si>
  <si>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</si>
  <si>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</si>
  <si>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</si>
  <si>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</si>
  <si>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</si>
  <si>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</si>
  <si>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</si>
  <si>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</si>
  <si>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</si>
  <si>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</si>
  <si>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</si>
  <si>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</si>
  <si>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</si>
  <si>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</si>
  <si>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</si>
  <si>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</si>
  <si>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</si>
  <si>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</si>
  <si>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</si>
  <si>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</si>
  <si>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</si>
  <si>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</si>
  <si>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</si>
  <si>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</si>
  <si>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</si>
  <si>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</si>
  <si>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</si>
  <si>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</si>
  <si>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</si>
  <si>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</si>
  <si>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</si>
  <si>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</si>
  <si>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</si>
  <si>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</si>
  <si>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</si>
  <si>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</si>
  <si>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</si>
  <si>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</si>
  <si>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</si>
  <si>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</si>
  <si>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</si>
  <si>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</si>
  <si>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</si>
  <si>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</si>
  <si>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</si>
  <si>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</si>
  <si>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</si>
  <si>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</si>
  <si>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</si>
  <si>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</si>
  <si>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</si>
  <si>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</si>
  <si>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</si>
  <si>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</si>
  <si>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</si>
  <si>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</si>
  <si>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</si>
  <si>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</si>
  <si>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</si>
  <si>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</si>
  <si>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</si>
  <si>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</si>
  <si>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</si>
  <si>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</si>
  <si>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</si>
  <si>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</si>
  <si>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</si>
  <si>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</si>
  <si>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</si>
  <si>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</si>
  <si>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</si>
  <si>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</si>
  <si>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</si>
  <si>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</si>
  <si>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</si>
  <si>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</si>
  <si>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</si>
  <si>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</si>
  <si>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</si>
  <si>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</si>
  <si>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</si>
  <si>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</si>
  <si>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</si>
  <si>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</si>
  <si>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</si>
  <si>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</si>
  <si>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</si>
  <si>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</si>
  <si>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</si>
  <si>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</si>
  <si>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</si>
  <si>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</si>
  <si>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</si>
  <si>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</si>
  <si>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</si>
  <si>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</si>
  <si>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</si>
  <si>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</si>
  <si>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</si>
  <si>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</si>
  <si>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</si>
  <si>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</si>
  <si>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</si>
  <si>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</si>
  <si>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Odszkodowania za drogi</t>
  </si>
  <si>
    <t>48.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</si>
  <si>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</si>
  <si>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</si>
  <si>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</si>
  <si>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</si>
  <si>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</si>
  <si>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</si>
  <si>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</si>
  <si>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</si>
  <si>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</si>
  <si>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</si>
  <si>
    <t>Projekt - "Internet dla mieszkańców Gminy Lesznowola"</t>
  </si>
  <si>
    <t>UG - Informatyk</t>
  </si>
  <si>
    <t>4119 b.p.</t>
  </si>
  <si>
    <t>4119 b.g.</t>
  </si>
  <si>
    <t>4129 b.p.</t>
  </si>
  <si>
    <t>4129 b.g.</t>
  </si>
  <si>
    <t>4179 b.p.</t>
  </si>
  <si>
    <t>4179 b.g.</t>
  </si>
  <si>
    <t>4309 b.p.</t>
  </si>
  <si>
    <t>4309 b.g.</t>
  </si>
  <si>
    <t>58.</t>
  </si>
  <si>
    <t>"Internet dla mieszkańców Gminy Lesznowola"</t>
  </si>
  <si>
    <t>6059 b.p.</t>
  </si>
  <si>
    <t>6059 b.g.</t>
  </si>
  <si>
    <t>54.186.024,-zł</t>
  </si>
  <si>
    <t>Mysiadło-Projekt i budowa przyłącza energetycznego 15 kV do CEiS (j.w.)</t>
  </si>
  <si>
    <t>2.1.3</t>
  </si>
  <si>
    <t>Programy, projekty lub zadania                                      (razem)</t>
  </si>
  <si>
    <t>Projekt - "Koncepcja zagospodarowania terenu dawnego KPGO Mysiadło"</t>
  </si>
  <si>
    <t>Najem lokalu na potrzeby świetlicy w Zgorzale</t>
  </si>
  <si>
    <t>Najem lokalu na garażowanie samochodu OSP Mroków</t>
  </si>
  <si>
    <t>UG - GGG</t>
  </si>
  <si>
    <t>Wywóz odpadów komunalnych</t>
  </si>
  <si>
    <t>21.</t>
  </si>
  <si>
    <t>49.</t>
  </si>
  <si>
    <t>59.</t>
  </si>
  <si>
    <t>60.</t>
  </si>
  <si>
    <t>61.</t>
  </si>
  <si>
    <t>62.</t>
  </si>
  <si>
    <t>Najem gruntów pod szkołę w Mysiadle</t>
  </si>
  <si>
    <t>63.</t>
  </si>
  <si>
    <t xml:space="preserve">Do Uchwały Nr </t>
  </si>
  <si>
    <t xml:space="preserve">z dnia </t>
  </si>
  <si>
    <t>Mysiadło - Projekt i budowa ulic Goździków, Poprzecznej, Wiejskiej i Zakręt wraz z kanalizacją deszczową</t>
  </si>
  <si>
    <t>Wilcza Góra-Projekt i budowa ul. Jasnej z odwodnieniem</t>
  </si>
  <si>
    <t>Zamienie- Budowa ul. Błędnej  III etap</t>
  </si>
  <si>
    <t xml:space="preserve">lisopad </t>
  </si>
  <si>
    <t>1.2.4</t>
  </si>
  <si>
    <t>1.2.5</t>
  </si>
  <si>
    <t>1.2.6</t>
  </si>
  <si>
    <t>2.1.31</t>
  </si>
  <si>
    <t>WYKONANIE</t>
  </si>
  <si>
    <t>LATA</t>
  </si>
  <si>
    <t xml:space="preserve">WYKONANIE </t>
  </si>
  <si>
    <t>Odławianie zwierząt bezdomnych</t>
  </si>
  <si>
    <t>Dowożenie i odwożenie dzieci niepełnosprawnych do placówek oświatowych w roku szkolnym 2012/2013</t>
  </si>
  <si>
    <t>Transport uczniów do szkół i ze szkół w roku szkolnym 2012/2013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</si>
</sst>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8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2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vertical="top" wrapText="1"/>
    </xf>
    <xf numFmtId="0" fontId="42" fillId="24" borderId="0" xfId="0" applyFont="1" applyFill="1" applyBorder="1" applyAlignment="1">
      <alignment vertical="top"/>
    </xf>
    <xf numFmtId="0" fontId="43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38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20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textRotation="90"/>
    </xf>
    <xf numFmtId="3" fontId="42" fillId="0" borderId="14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3" fontId="39" fillId="22" borderId="14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3" fontId="42" fillId="24" borderId="14" xfId="0" applyNumberFormat="1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9" fillId="0" borderId="26" xfId="0" applyFont="1" applyBorder="1" applyAlignment="1">
      <alignment horizontal="center" vertical="center"/>
    </xf>
    <xf numFmtId="0" fontId="46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/>
    </xf>
    <xf numFmtId="3" fontId="38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8" fillId="0" borderId="29" xfId="0" applyFont="1" applyBorder="1" applyAlignment="1">
      <alignment horizontal="left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3" fontId="49" fillId="0" borderId="30" xfId="0" applyNumberFormat="1" applyFont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49" fillId="0" borderId="31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49" fillId="0" borderId="33" xfId="0" applyNumberFormat="1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49" fillId="0" borderId="35" xfId="0" applyNumberFormat="1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2" fontId="29" fillId="0" borderId="29" xfId="0" applyNumberFormat="1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left" vertical="center" wrapText="1"/>
    </xf>
    <xf numFmtId="3" fontId="29" fillId="0" borderId="39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9" fillId="25" borderId="14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65" fontId="39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40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 horizontal="center" vertical="top" wrapText="1"/>
    </xf>
    <xf numFmtId="3" fontId="18" fillId="0" borderId="35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32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/>
    </xf>
    <xf numFmtId="164" fontId="21" fillId="0" borderId="42" xfId="0" applyNumberFormat="1" applyFont="1" applyBorder="1" applyAlignment="1">
      <alignment/>
    </xf>
    <xf numFmtId="1" fontId="21" fillId="0" borderId="37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 horizontal="center" vertical="top" wrapText="1"/>
    </xf>
    <xf numFmtId="3" fontId="18" fillId="0" borderId="37" xfId="0" applyNumberFormat="1" applyFont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32" xfId="0" applyNumberFormat="1" applyFont="1" applyFill="1" applyBorder="1" applyAlignment="1">
      <alignment horizontal="center"/>
    </xf>
    <xf numFmtId="3" fontId="18" fillId="22" borderId="32" xfId="0" applyNumberFormat="1" applyFont="1" applyFill="1" applyBorder="1" applyAlignment="1">
      <alignment/>
    </xf>
    <xf numFmtId="164" fontId="21" fillId="22" borderId="42" xfId="0" applyNumberFormat="1" applyFont="1" applyFill="1" applyBorder="1" applyAlignment="1">
      <alignment/>
    </xf>
    <xf numFmtId="1" fontId="21" fillId="22" borderId="37" xfId="0" applyNumberFormat="1" applyFont="1" applyFill="1" applyBorder="1" applyAlignment="1">
      <alignment horizontal="center"/>
    </xf>
    <xf numFmtId="3" fontId="18" fillId="22" borderId="37" xfId="0" applyNumberFormat="1" applyFont="1" applyFill="1" applyBorder="1" applyAlignment="1">
      <alignment/>
    </xf>
    <xf numFmtId="164" fontId="21" fillId="22" borderId="43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3" fontId="18" fillId="22" borderId="38" xfId="0" applyNumberFormat="1" applyFont="1" applyFill="1" applyBorder="1" applyAlignment="1">
      <alignment/>
    </xf>
    <xf numFmtId="164" fontId="21" fillId="22" borderId="40" xfId="0" applyNumberFormat="1" applyFont="1" applyFill="1" applyBorder="1" applyAlignment="1">
      <alignment/>
    </xf>
    <xf numFmtId="1" fontId="21" fillId="22" borderId="35" xfId="0" applyNumberFormat="1" applyFont="1" applyFill="1" applyBorder="1" applyAlignment="1">
      <alignment horizontal="center"/>
    </xf>
    <xf numFmtId="3" fontId="21" fillId="22" borderId="35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/>
    </xf>
    <xf numFmtId="3" fontId="21" fillId="22" borderId="32" xfId="0" applyNumberFormat="1" applyFont="1" applyFill="1" applyBorder="1" applyAlignment="1">
      <alignment horizontal="center" vertical="top" wrapText="1"/>
    </xf>
    <xf numFmtId="3" fontId="21" fillId="22" borderId="37" xfId="0" applyNumberFormat="1" applyFont="1" applyFill="1" applyBorder="1" applyAlignment="1">
      <alignment horizontal="center" vertical="top" wrapText="1"/>
    </xf>
    <xf numFmtId="3" fontId="18" fillId="22" borderId="35" xfId="0" applyNumberFormat="1" applyFont="1" applyFill="1" applyBorder="1" applyAlignment="1">
      <alignment horizontal="center" vertical="top" wrapText="1"/>
    </xf>
    <xf numFmtId="3" fontId="18" fillId="22" borderId="32" xfId="0" applyNumberFormat="1" applyFont="1" applyFill="1" applyBorder="1" applyAlignment="1">
      <alignment horizontal="center" vertical="top" wrapText="1"/>
    </xf>
    <xf numFmtId="3" fontId="18" fillId="22" borderId="37" xfId="0" applyNumberFormat="1" applyFont="1" applyFill="1" applyBorder="1" applyAlignment="1">
      <alignment horizontal="center" vertical="top" wrapText="1"/>
    </xf>
    <xf numFmtId="3" fontId="21" fillId="22" borderId="38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22" borderId="47" xfId="0" applyNumberFormat="1" applyFont="1" applyFill="1" applyBorder="1" applyAlignment="1">
      <alignment/>
    </xf>
    <xf numFmtId="3" fontId="18" fillId="22" borderId="48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9" xfId="0" applyNumberFormat="1" applyFont="1" applyFill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18" fillId="0" borderId="50" xfId="0" applyFont="1" applyBorder="1" applyAlignment="1">
      <alignment/>
    </xf>
    <xf numFmtId="0" fontId="0" fillId="22" borderId="50" xfId="0" applyNumberFormat="1" applyFill="1" applyBorder="1" applyAlignment="1">
      <alignment/>
    </xf>
    <xf numFmtId="0" fontId="0" fillId="22" borderId="50" xfId="0" applyFill="1" applyBorder="1" applyAlignment="1">
      <alignment/>
    </xf>
    <xf numFmtId="3" fontId="0" fillId="22" borderId="50" xfId="0" applyNumberFormat="1" applyFill="1" applyBorder="1" applyAlignment="1">
      <alignment/>
    </xf>
    <xf numFmtId="0" fontId="0" fillId="0" borderId="50" xfId="0" applyNumberFormat="1" applyBorder="1" applyAlignment="1">
      <alignment/>
    </xf>
    <xf numFmtId="3" fontId="0" fillId="26" borderId="50" xfId="0" applyNumberFormat="1" applyFill="1" applyBorder="1" applyAlignment="1">
      <alignment/>
    </xf>
    <xf numFmtId="0" fontId="18" fillId="26" borderId="51" xfId="0" applyFont="1" applyFill="1" applyBorder="1" applyAlignment="1">
      <alignment/>
    </xf>
    <xf numFmtId="3" fontId="0" fillId="26" borderId="52" xfId="0" applyNumberFormat="1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26" borderId="50" xfId="0" applyFill="1" applyBorder="1" applyAlignment="1">
      <alignment/>
    </xf>
    <xf numFmtId="0" fontId="18" fillId="26" borderId="50" xfId="0" applyFont="1" applyFill="1" applyBorder="1" applyAlignment="1">
      <alignment/>
    </xf>
    <xf numFmtId="3" fontId="0" fillId="26" borderId="0" xfId="0" applyNumberFormat="1" applyFill="1" applyAlignment="1">
      <alignment/>
    </xf>
    <xf numFmtId="3" fontId="27" fillId="26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50" fillId="0" borderId="56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2" fillId="0" borderId="5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49" fillId="0" borderId="57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59" xfId="0" applyFont="1" applyFill="1" applyBorder="1" applyAlignment="1">
      <alignment horizontal="left" vertical="center" wrapText="1"/>
    </xf>
    <xf numFmtId="0" fontId="45" fillId="0" borderId="50" xfId="0" applyFont="1" applyBorder="1" applyAlignment="1">
      <alignment vertical="center" wrapText="1"/>
    </xf>
    <xf numFmtId="0" fontId="45" fillId="0" borderId="60" xfId="0" applyFont="1" applyBorder="1" applyAlignment="1">
      <alignment vertical="center" wrapText="1"/>
    </xf>
    <xf numFmtId="0" fontId="51" fillId="0" borderId="2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7" xfId="0" applyFont="1" applyFill="1" applyBorder="1" applyAlignment="1" quotePrefix="1">
      <alignment horizontal="center" vertical="center" wrapText="1"/>
    </xf>
    <xf numFmtId="0" fontId="29" fillId="27" borderId="16" xfId="0" applyFont="1" applyFill="1" applyBorder="1" applyAlignment="1">
      <alignment horizontal="center" vertical="center" wrapText="1"/>
    </xf>
    <xf numFmtId="3" fontId="52" fillId="27" borderId="16" xfId="0" applyNumberFormat="1" applyFont="1" applyFill="1" applyBorder="1" applyAlignment="1">
      <alignment horizontal="center" vertical="center" wrapText="1"/>
    </xf>
    <xf numFmtId="2" fontId="53" fillId="28" borderId="29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Border="1" applyAlignment="1">
      <alignment horizontal="center" vertical="center"/>
    </xf>
    <xf numFmtId="3" fontId="38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38" fillId="29" borderId="14" xfId="0" applyNumberFormat="1" applyFont="1" applyFill="1" applyBorder="1" applyAlignment="1">
      <alignment horizontal="center" vertical="center"/>
    </xf>
    <xf numFmtId="165" fontId="29" fillId="30" borderId="14" xfId="0" applyNumberFormat="1" applyFont="1" applyFill="1" applyBorder="1" applyAlignment="1">
      <alignment horizontal="center" vertical="center"/>
    </xf>
    <xf numFmtId="4" fontId="29" fillId="30" borderId="25" xfId="0" applyNumberFormat="1" applyFont="1" applyFill="1" applyBorder="1" applyAlignment="1">
      <alignment horizontal="center" vertical="center"/>
    </xf>
    <xf numFmtId="3" fontId="38" fillId="31" borderId="28" xfId="0" applyNumberFormat="1" applyFont="1" applyFill="1" applyBorder="1" applyAlignment="1">
      <alignment horizontal="center" vertical="center"/>
    </xf>
    <xf numFmtId="3" fontId="29" fillId="31" borderId="14" xfId="0" applyNumberFormat="1" applyFont="1" applyFill="1" applyBorder="1" applyAlignment="1">
      <alignment horizontal="center" vertical="center"/>
    </xf>
    <xf numFmtId="165" fontId="29" fillId="32" borderId="14" xfId="0" applyNumberFormat="1" applyFont="1" applyFill="1" applyBorder="1" applyAlignment="1">
      <alignment horizontal="center" vertical="center"/>
    </xf>
    <xf numFmtId="4" fontId="29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4" fontId="29" fillId="32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39" fillId="24" borderId="14" xfId="0" applyNumberFormat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3" fontId="39" fillId="29" borderId="19" xfId="0" applyNumberFormat="1" applyFont="1" applyFill="1" applyBorder="1" applyAlignment="1">
      <alignment horizontal="center" vertical="center"/>
    </xf>
    <xf numFmtId="3" fontId="42" fillId="29" borderId="19" xfId="0" applyNumberFormat="1" applyFont="1" applyFill="1" applyBorder="1" applyAlignment="1">
      <alignment horizontal="center" vertical="center"/>
    </xf>
    <xf numFmtId="3" fontId="39" fillId="25" borderId="19" xfId="0" applyNumberFormat="1" applyFont="1" applyFill="1" applyBorder="1" applyAlignment="1">
      <alignment horizontal="center" vertical="center" wrapText="1"/>
    </xf>
    <xf numFmtId="3" fontId="39" fillId="29" borderId="19" xfId="0" applyNumberFormat="1" applyFont="1" applyFill="1" applyBorder="1" applyAlignment="1">
      <alignment horizontal="center" vertical="center" wrapText="1"/>
    </xf>
    <xf numFmtId="4" fontId="39" fillId="29" borderId="19" xfId="0" applyNumberFormat="1" applyFont="1" applyFill="1" applyBorder="1" applyAlignment="1">
      <alignment horizontal="center" vertical="center" wrapText="1"/>
    </xf>
    <xf numFmtId="165" fontId="39" fillId="29" borderId="19" xfId="0" applyNumberFormat="1" applyFont="1" applyFill="1" applyBorder="1" applyAlignment="1">
      <alignment horizontal="center" vertical="center" wrapText="1"/>
    </xf>
    <xf numFmtId="3" fontId="39" fillId="29" borderId="62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/>
    </xf>
    <xf numFmtId="3" fontId="39" fillId="22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/>
    </xf>
    <xf numFmtId="4" fontId="39" fillId="0" borderId="29" xfId="0" applyNumberFormat="1" applyFont="1" applyFill="1" applyBorder="1" applyAlignment="1">
      <alignment horizontal="center" vertical="center" wrapText="1"/>
    </xf>
    <xf numFmtId="165" fontId="39" fillId="0" borderId="29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39" fillId="0" borderId="63" xfId="0" applyNumberFormat="1" applyFont="1" applyBorder="1" applyAlignment="1">
      <alignment horizontal="center" vertical="center" wrapText="1"/>
    </xf>
    <xf numFmtId="3" fontId="39" fillId="31" borderId="21" xfId="0" applyNumberFormat="1" applyFont="1" applyFill="1" applyBorder="1" applyAlignment="1">
      <alignment horizontal="center" vertical="center"/>
    </xf>
    <xf numFmtId="3" fontId="42" fillId="31" borderId="21" xfId="0" applyNumberFormat="1" applyFont="1" applyFill="1" applyBorder="1" applyAlignment="1">
      <alignment horizontal="center" vertical="center"/>
    </xf>
    <xf numFmtId="3" fontId="39" fillId="31" borderId="21" xfId="0" applyNumberFormat="1" applyFont="1" applyFill="1" applyBorder="1" applyAlignment="1">
      <alignment horizontal="center" vertical="center" wrapText="1"/>
    </xf>
    <xf numFmtId="4" fontId="39" fillId="31" borderId="21" xfId="0" applyNumberFormat="1" applyFont="1" applyFill="1" applyBorder="1" applyAlignment="1">
      <alignment horizontal="center" vertical="center" wrapText="1"/>
    </xf>
    <xf numFmtId="165" fontId="39" fillId="31" borderId="21" xfId="0" applyNumberFormat="1" applyFont="1" applyFill="1" applyBorder="1" applyAlignment="1">
      <alignment horizontal="center" vertical="center" wrapText="1"/>
    </xf>
    <xf numFmtId="3" fontId="42" fillId="31" borderId="21" xfId="0" applyNumberFormat="1" applyFont="1" applyFill="1" applyBorder="1" applyAlignment="1">
      <alignment horizontal="center" vertical="center" wrapText="1"/>
    </xf>
    <xf numFmtId="3" fontId="39" fillId="31" borderId="64" xfId="0" applyNumberFormat="1" applyFont="1" applyFill="1" applyBorder="1" applyAlignment="1">
      <alignment horizontal="center" vertical="center" wrapText="1"/>
    </xf>
    <xf numFmtId="3" fontId="42" fillId="29" borderId="19" xfId="0" applyNumberFormat="1" applyFont="1" applyFill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/>
    </xf>
    <xf numFmtId="3" fontId="42" fillId="0" borderId="29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45" fillId="0" borderId="66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67" xfId="0" applyFont="1" applyBorder="1" applyAlignment="1">
      <alignment vertical="center" wrapText="1"/>
    </xf>
    <xf numFmtId="0" fontId="45" fillId="0" borderId="55" xfId="0" applyFont="1" applyBorder="1" applyAlignment="1">
      <alignment vertical="center" wrapText="1"/>
    </xf>
    <xf numFmtId="3" fontId="49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right" vertical="center" wrapText="1"/>
    </xf>
    <xf numFmtId="4" fontId="39" fillId="31" borderId="14" xfId="0" applyNumberFormat="1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3" fontId="39" fillId="0" borderId="68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0" fontId="54" fillId="0" borderId="61" xfId="0" applyFont="1" applyBorder="1" applyAlignment="1">
      <alignment vertical="center" wrapText="1"/>
    </xf>
    <xf numFmtId="0" fontId="55" fillId="33" borderId="25" xfId="0" applyFont="1" applyFill="1" applyBorder="1" applyAlignment="1">
      <alignment horizontal="center" vertical="center" wrapText="1"/>
    </xf>
    <xf numFmtId="3" fontId="49" fillId="34" borderId="14" xfId="0" applyNumberFormat="1" applyFont="1" applyFill="1" applyBorder="1" applyAlignment="1">
      <alignment horizontal="center" vertical="center" wrapText="1"/>
    </xf>
    <xf numFmtId="3" fontId="29" fillId="34" borderId="31" xfId="0" applyNumberFormat="1" applyFont="1" applyFill="1" applyBorder="1" applyAlignment="1">
      <alignment horizontal="center" vertical="center" wrapText="1"/>
    </xf>
    <xf numFmtId="3" fontId="29" fillId="34" borderId="32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>
      <alignment horizontal="center" vertical="center" wrapText="1"/>
    </xf>
    <xf numFmtId="3" fontId="29" fillId="34" borderId="57" xfId="0" applyNumberFormat="1" applyFont="1" applyFill="1" applyBorder="1" applyAlignment="1">
      <alignment horizontal="center" vertical="center" wrapText="1"/>
    </xf>
    <xf numFmtId="3" fontId="29" fillId="34" borderId="14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49" fillId="34" borderId="31" xfId="0" applyNumberFormat="1" applyFont="1" applyFill="1" applyBorder="1" applyAlignment="1">
      <alignment horizontal="center" vertical="center" wrapText="1"/>
    </xf>
    <xf numFmtId="3" fontId="49" fillId="34" borderId="32" xfId="0" applyNumberFormat="1" applyFont="1" applyFill="1" applyBorder="1" applyAlignment="1">
      <alignment horizontal="center" vertical="center" wrapText="1"/>
    </xf>
    <xf numFmtId="3" fontId="49" fillId="34" borderId="33" xfId="0" applyNumberFormat="1" applyFont="1" applyFill="1" applyBorder="1" applyAlignment="1">
      <alignment horizontal="center" vertical="center" wrapText="1"/>
    </xf>
    <xf numFmtId="3" fontId="29" fillId="34" borderId="33" xfId="0" applyNumberFormat="1" applyFont="1" applyFill="1" applyBorder="1" applyAlignment="1" quotePrefix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52" fillId="34" borderId="16" xfId="0" applyNumberFormat="1" applyFont="1" applyFill="1" applyBorder="1" applyAlignment="1">
      <alignment horizontal="center" vertical="center" wrapText="1"/>
    </xf>
    <xf numFmtId="3" fontId="29" fillId="34" borderId="35" xfId="0" applyNumberFormat="1" applyFont="1" applyFill="1" applyBorder="1" applyAlignment="1">
      <alignment horizontal="center" vertical="center" wrapText="1"/>
    </xf>
    <xf numFmtId="3" fontId="29" fillId="34" borderId="37" xfId="0" applyNumberFormat="1" applyFont="1" applyFill="1" applyBorder="1" applyAlignment="1">
      <alignment horizontal="center" vertical="center" wrapText="1"/>
    </xf>
    <xf numFmtId="3" fontId="29" fillId="34" borderId="69" xfId="0" applyNumberFormat="1" applyFont="1" applyFill="1" applyBorder="1" applyAlignment="1">
      <alignment horizontal="center" vertical="center" wrapText="1"/>
    </xf>
    <xf numFmtId="3" fontId="29" fillId="34" borderId="38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top" wrapText="1"/>
    </xf>
    <xf numFmtId="0" fontId="45" fillId="0" borderId="70" xfId="0" applyFont="1" applyBorder="1" applyAlignment="1">
      <alignment vertical="center" wrapText="1"/>
    </xf>
    <xf numFmtId="0" fontId="43" fillId="0" borderId="50" xfId="0" applyFont="1" applyBorder="1" applyAlignment="1">
      <alignment vertical="center" wrapText="1"/>
    </xf>
    <xf numFmtId="0" fontId="39" fillId="22" borderId="71" xfId="0" applyNumberFormat="1" applyFont="1" applyFill="1" applyBorder="1" applyAlignment="1">
      <alignment horizontal="center" vertical="center"/>
    </xf>
    <xf numFmtId="3" fontId="39" fillId="22" borderId="71" xfId="0" applyNumberFormat="1" applyFont="1" applyFill="1" applyBorder="1" applyAlignment="1">
      <alignment horizontal="center" vertical="center" wrapText="1"/>
    </xf>
    <xf numFmtId="0" fontId="39" fillId="32" borderId="71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4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5" xfId="0" applyNumberFormat="1" applyFont="1" applyFill="1" applyBorder="1" applyAlignment="1">
      <alignment horizontal="center" vertical="top" wrapText="1"/>
    </xf>
    <xf numFmtId="3" fontId="30" fillId="26" borderId="50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/>
    </xf>
    <xf numFmtId="3" fontId="0" fillId="26" borderId="50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164" fontId="18" fillId="0" borderId="40" xfId="0" applyNumberFormat="1" applyFont="1" applyBorder="1" applyAlignment="1">
      <alignment/>
    </xf>
    <xf numFmtId="1" fontId="18" fillId="0" borderId="35" xfId="0" applyNumberFormat="1" applyFont="1" applyBorder="1" applyAlignment="1">
      <alignment horizontal="center"/>
    </xf>
    <xf numFmtId="164" fontId="18" fillId="0" borderId="41" xfId="0" applyNumberFormat="1" applyFont="1" applyBorder="1" applyAlignment="1">
      <alignment/>
    </xf>
    <xf numFmtId="1" fontId="18" fillId="0" borderId="32" xfId="0" applyNumberFormat="1" applyFont="1" applyBorder="1" applyAlignment="1">
      <alignment horizontal="center"/>
    </xf>
    <xf numFmtId="0" fontId="0" fillId="26" borderId="72" xfId="0" applyFont="1" applyFill="1" applyBorder="1" applyAlignment="1">
      <alignment/>
    </xf>
    <xf numFmtId="164" fontId="18" fillId="0" borderId="42" xfId="0" applyNumberFormat="1" applyFont="1" applyBorder="1" applyAlignment="1">
      <alignment/>
    </xf>
    <xf numFmtId="1" fontId="18" fillId="0" borderId="37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26" borderId="52" xfId="0" applyNumberFormat="1" applyFont="1" applyFill="1" applyBorder="1" applyAlignment="1">
      <alignment/>
    </xf>
    <xf numFmtId="3" fontId="0" fillId="26" borderId="51" xfId="0" applyNumberFormat="1" applyFont="1" applyFill="1" applyBorder="1" applyAlignment="1">
      <alignment/>
    </xf>
    <xf numFmtId="3" fontId="0" fillId="26" borderId="72" xfId="0" applyNumberFormat="1" applyFont="1" applyFill="1" applyBorder="1" applyAlignment="1">
      <alignment/>
    </xf>
    <xf numFmtId="164" fontId="18" fillId="22" borderId="41" xfId="0" applyNumberFormat="1" applyFont="1" applyFill="1" applyBorder="1" applyAlignment="1">
      <alignment/>
    </xf>
    <xf numFmtId="1" fontId="18" fillId="22" borderId="32" xfId="0" applyNumberFormat="1" applyFont="1" applyFill="1" applyBorder="1" applyAlignment="1">
      <alignment horizontal="center"/>
    </xf>
    <xf numFmtId="164" fontId="18" fillId="22" borderId="43" xfId="0" applyNumberFormat="1" applyFont="1" applyFill="1" applyBorder="1" applyAlignment="1">
      <alignment/>
    </xf>
    <xf numFmtId="1" fontId="18" fillId="22" borderId="38" xfId="0" applyNumberFormat="1" applyFont="1" applyFill="1" applyBorder="1" applyAlignment="1">
      <alignment horizontal="center"/>
    </xf>
    <xf numFmtId="3" fontId="0" fillId="26" borderId="73" xfId="0" applyNumberFormat="1" applyFont="1" applyFill="1" applyBorder="1" applyAlignment="1">
      <alignment/>
    </xf>
    <xf numFmtId="164" fontId="18" fillId="22" borderId="40" xfId="0" applyNumberFormat="1" applyFont="1" applyFill="1" applyBorder="1" applyAlignment="1">
      <alignment/>
    </xf>
    <xf numFmtId="1" fontId="18" fillId="22" borderId="35" xfId="0" applyNumberFormat="1" applyFont="1" applyFill="1" applyBorder="1" applyAlignment="1">
      <alignment horizontal="center"/>
    </xf>
    <xf numFmtId="164" fontId="18" fillId="22" borderId="42" xfId="0" applyNumberFormat="1" applyFont="1" applyFill="1" applyBorder="1" applyAlignment="1">
      <alignment/>
    </xf>
    <xf numFmtId="1" fontId="18" fillId="22" borderId="37" xfId="0" applyNumberFormat="1" applyFont="1" applyFill="1" applyBorder="1" applyAlignment="1">
      <alignment horizontal="center"/>
    </xf>
    <xf numFmtId="164" fontId="18" fillId="0" borderId="43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75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center" vertical="center" wrapText="1"/>
    </xf>
    <xf numFmtId="3" fontId="29" fillId="29" borderId="0" xfId="0" applyNumberFormat="1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left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6" fillId="35" borderId="58" xfId="0" applyFont="1" applyFill="1" applyBorder="1" applyAlignment="1">
      <alignment horizontal="left" vertical="center" wrapText="1"/>
    </xf>
    <xf numFmtId="0" fontId="50" fillId="35" borderId="57" xfId="0" applyFont="1" applyFill="1" applyBorder="1" applyAlignment="1">
      <alignment horizontal="center" vertical="center" wrapText="1"/>
    </xf>
    <xf numFmtId="3" fontId="56" fillId="35" borderId="57" xfId="0" applyNumberFormat="1" applyFont="1" applyFill="1" applyBorder="1" applyAlignment="1">
      <alignment horizontal="center" vertical="center" wrapText="1"/>
    </xf>
    <xf numFmtId="3" fontId="56" fillId="36" borderId="5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56" fillId="35" borderId="29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3" fontId="56" fillId="35" borderId="14" xfId="0" applyNumberFormat="1" applyFont="1" applyFill="1" applyBorder="1" applyAlignment="1">
      <alignment horizontal="center" vertical="center" wrapText="1"/>
    </xf>
    <xf numFmtId="3" fontId="56" fillId="36" borderId="14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0" fontId="53" fillId="28" borderId="29" xfId="0" applyFont="1" applyFill="1" applyBorder="1" applyAlignment="1">
      <alignment horizontal="left" vertical="center" wrapText="1"/>
    </xf>
    <xf numFmtId="0" fontId="56" fillId="28" borderId="0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3" fontId="53" fillId="28" borderId="14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56" fillId="28" borderId="29" xfId="0" applyFont="1" applyFill="1" applyBorder="1" applyAlignment="1">
      <alignment horizontal="left" vertical="center" wrapText="1"/>
    </xf>
    <xf numFmtId="3" fontId="56" fillId="28" borderId="14" xfId="0" applyNumberFormat="1" applyFont="1" applyFill="1" applyBorder="1" applyAlignment="1">
      <alignment horizontal="center" vertical="center" wrapText="1"/>
    </xf>
    <xf numFmtId="0" fontId="56" fillId="28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56" fillId="35" borderId="14" xfId="0" applyFont="1" applyFill="1" applyBorder="1" applyAlignment="1">
      <alignment horizontal="center" vertical="center" wrapText="1"/>
    </xf>
    <xf numFmtId="3" fontId="51" fillId="35" borderId="14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49" fillId="37" borderId="14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3" fontId="49" fillId="29" borderId="0" xfId="0" applyNumberFormat="1" applyFont="1" applyFill="1" applyBorder="1" applyAlignment="1">
      <alignment horizontal="center" vertical="center" wrapText="1"/>
    </xf>
    <xf numFmtId="0" fontId="56" fillId="35" borderId="76" xfId="0" applyFont="1" applyFill="1" applyBorder="1" applyAlignment="1">
      <alignment horizontal="center" vertical="center"/>
    </xf>
    <xf numFmtId="3" fontId="56" fillId="35" borderId="77" xfId="0" applyNumberFormat="1" applyFont="1" applyFill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3" fontId="49" fillId="0" borderId="55" xfId="0" applyNumberFormat="1" applyFont="1" applyBorder="1" applyAlignment="1">
      <alignment horizontal="center" vertical="center"/>
    </xf>
    <xf numFmtId="0" fontId="56" fillId="35" borderId="78" xfId="0" applyFont="1" applyFill="1" applyBorder="1" applyAlignment="1">
      <alignment horizontal="center" vertical="center"/>
    </xf>
    <xf numFmtId="3" fontId="56" fillId="35" borderId="55" xfId="0" applyNumberFormat="1" applyFont="1" applyFill="1" applyBorder="1" applyAlignment="1">
      <alignment horizontal="center" vertical="center"/>
    </xf>
    <xf numFmtId="3" fontId="49" fillId="0" borderId="55" xfId="0" applyNumberFormat="1" applyFont="1" applyBorder="1" applyAlignment="1">
      <alignment horizontal="center" vertical="center" wrapText="1"/>
    </xf>
    <xf numFmtId="166" fontId="53" fillId="28" borderId="78" xfId="0" applyNumberFormat="1" applyFont="1" applyFill="1" applyBorder="1" applyAlignment="1">
      <alignment horizontal="center" vertical="center"/>
    </xf>
    <xf numFmtId="3" fontId="53" fillId="28" borderId="55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3" fontId="49" fillId="0" borderId="80" xfId="0" applyNumberFormat="1" applyFont="1" applyBorder="1" applyAlignment="1">
      <alignment horizontal="center" vertical="center"/>
    </xf>
    <xf numFmtId="3" fontId="49" fillId="0" borderId="81" xfId="0" applyNumberFormat="1" applyFont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3" fontId="49" fillId="0" borderId="82" xfId="0" applyNumberFormat="1" applyFont="1" applyBorder="1" applyAlignment="1">
      <alignment horizontal="center" vertical="center"/>
    </xf>
    <xf numFmtId="3" fontId="49" fillId="0" borderId="77" xfId="0" applyNumberFormat="1" applyFont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54" fillId="0" borderId="50" xfId="0" applyFont="1" applyBorder="1" applyAlignment="1">
      <alignment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center" vertical="center" wrapText="1"/>
    </xf>
    <xf numFmtId="3" fontId="29" fillId="0" borderId="85" xfId="0" applyNumberFormat="1" applyFont="1" applyFill="1" applyBorder="1" applyAlignment="1">
      <alignment horizontal="center" vertical="center" wrapText="1"/>
    </xf>
    <xf numFmtId="3" fontId="29" fillId="34" borderId="85" xfId="0" applyNumberFormat="1" applyFont="1" applyFill="1" applyBorder="1" applyAlignment="1">
      <alignment horizontal="center" vertical="center" wrapText="1"/>
    </xf>
    <xf numFmtId="3" fontId="49" fillId="34" borderId="84" xfId="0" applyNumberFormat="1" applyFont="1" applyFill="1" applyBorder="1" applyAlignment="1">
      <alignment horizontal="center" vertical="center" wrapText="1"/>
    </xf>
    <xf numFmtId="3" fontId="49" fillId="0" borderId="85" xfId="0" applyNumberFormat="1" applyFont="1" applyFill="1" applyBorder="1" applyAlignment="1">
      <alignment horizontal="center" vertical="center" wrapText="1"/>
    </xf>
    <xf numFmtId="0" fontId="49" fillId="0" borderId="85" xfId="0" applyFont="1" applyFill="1" applyBorder="1" applyAlignment="1">
      <alignment horizontal="center" vertical="center" wrapText="1"/>
    </xf>
    <xf numFmtId="3" fontId="49" fillId="0" borderId="86" xfId="0" applyNumberFormat="1" applyFont="1" applyBorder="1" applyAlignment="1">
      <alignment horizontal="center" vertical="center"/>
    </xf>
    <xf numFmtId="166" fontId="56" fillId="28" borderId="78" xfId="0" applyNumberFormat="1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56" fillId="28" borderId="78" xfId="0" applyFont="1" applyFill="1" applyBorder="1" applyAlignment="1">
      <alignment horizontal="center" vertical="center"/>
    </xf>
    <xf numFmtId="3" fontId="56" fillId="28" borderId="55" xfId="0" applyNumberFormat="1" applyFont="1" applyFill="1" applyBorder="1" applyAlignment="1">
      <alignment horizontal="center" vertical="center" wrapText="1"/>
    </xf>
    <xf numFmtId="3" fontId="52" fillId="27" borderId="87" xfId="0" applyNumberFormat="1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/>
    </xf>
    <xf numFmtId="3" fontId="49" fillId="0" borderId="89" xfId="0" applyNumberFormat="1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3" fontId="49" fillId="0" borderId="91" xfId="0" applyNumberFormat="1" applyFont="1" applyBorder="1" applyAlignment="1">
      <alignment horizontal="center" vertical="center"/>
    </xf>
    <xf numFmtId="3" fontId="49" fillId="0" borderId="92" xfId="0" applyNumberFormat="1" applyFont="1" applyBorder="1" applyAlignment="1">
      <alignment horizontal="center" vertical="center"/>
    </xf>
    <xf numFmtId="3" fontId="49" fillId="0" borderId="93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2" fontId="29" fillId="0" borderId="95" xfId="0" applyNumberFormat="1" applyFont="1" applyFill="1" applyBorder="1" applyAlignment="1">
      <alignment horizontal="left" vertical="center" wrapText="1"/>
    </xf>
    <xf numFmtId="3" fontId="29" fillId="0" borderId="84" xfId="0" applyNumberFormat="1" applyFont="1" applyFill="1" applyBorder="1" applyAlignment="1">
      <alignment horizontal="center" vertical="center" wrapText="1"/>
    </xf>
    <xf numFmtId="3" fontId="29" fillId="34" borderId="84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3" fontId="49" fillId="0" borderId="96" xfId="0" applyNumberFormat="1" applyFont="1" applyBorder="1" applyAlignment="1">
      <alignment horizontal="center" vertical="center"/>
    </xf>
    <xf numFmtId="0" fontId="56" fillId="35" borderId="57" xfId="0" applyFont="1" applyFill="1" applyBorder="1" applyAlignment="1">
      <alignment horizontal="center" vertical="center" wrapText="1"/>
    </xf>
    <xf numFmtId="0" fontId="45" fillId="0" borderId="97" xfId="0" applyFont="1" applyBorder="1" applyAlignment="1">
      <alignment vertical="center" wrapText="1"/>
    </xf>
    <xf numFmtId="0" fontId="45" fillId="0" borderId="98" xfId="0" applyFont="1" applyBorder="1" applyAlignment="1">
      <alignment vertical="center" wrapText="1"/>
    </xf>
    <xf numFmtId="0" fontId="45" fillId="29" borderId="0" xfId="0" applyFont="1" applyFill="1" applyBorder="1" applyAlignment="1">
      <alignment horizontal="center" vertical="center"/>
    </xf>
    <xf numFmtId="0" fontId="54" fillId="29" borderId="0" xfId="0" applyFont="1" applyFill="1" applyBorder="1" applyAlignment="1">
      <alignment vertical="center" wrapText="1"/>
    </xf>
    <xf numFmtId="0" fontId="29" fillId="29" borderId="0" xfId="0" applyFont="1" applyFill="1" applyBorder="1" applyAlignment="1">
      <alignment horizontal="center" vertical="center" wrapText="1"/>
    </xf>
    <xf numFmtId="3" fontId="49" fillId="29" borderId="0" xfId="0" applyNumberFormat="1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/>
    </xf>
    <xf numFmtId="3" fontId="49" fillId="0" borderId="55" xfId="0" applyNumberFormat="1" applyFont="1" applyFill="1" applyBorder="1" applyAlignment="1">
      <alignment horizontal="center" vertical="center" wrapText="1"/>
    </xf>
    <xf numFmtId="3" fontId="49" fillId="0" borderId="87" xfId="0" applyNumberFormat="1" applyFont="1" applyBorder="1" applyAlignment="1">
      <alignment horizontal="center" vertical="center"/>
    </xf>
    <xf numFmtId="3" fontId="53" fillId="38" borderId="77" xfId="0" applyNumberFormat="1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5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center" vertical="center" wrapText="1"/>
    </xf>
    <xf numFmtId="3" fontId="29" fillId="0" borderId="84" xfId="0" applyNumberFormat="1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/>
    </xf>
    <xf numFmtId="0" fontId="29" fillId="0" borderId="99" xfId="0" applyFont="1" applyBorder="1" applyAlignment="1">
      <alignment horizontal="left" vertical="center" wrapText="1"/>
    </xf>
    <xf numFmtId="0" fontId="29" fillId="0" borderId="99" xfId="0" applyFont="1" applyBorder="1" applyAlignment="1">
      <alignment horizontal="center" vertical="center" wrapText="1"/>
    </xf>
    <xf numFmtId="3" fontId="29" fillId="0" borderId="99" xfId="0" applyNumberFormat="1" applyFont="1" applyBorder="1" applyAlignment="1">
      <alignment horizontal="center" vertical="center" wrapText="1"/>
    </xf>
    <xf numFmtId="3" fontId="49" fillId="0" borderId="99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29" borderId="57" xfId="0" applyNumberFormat="1" applyFont="1" applyFill="1" applyBorder="1" applyAlignment="1">
      <alignment horizontal="center" vertical="center" wrapText="1"/>
    </xf>
    <xf numFmtId="0" fontId="29" fillId="29" borderId="57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29" borderId="84" xfId="0" applyFont="1" applyFill="1" applyBorder="1" applyAlignment="1">
      <alignment horizontal="center" vertical="center" wrapText="1"/>
    </xf>
    <xf numFmtId="3" fontId="29" fillId="29" borderId="84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100" xfId="0" applyFont="1" applyBorder="1" applyAlignment="1">
      <alignment horizontal="left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3" fontId="29" fillId="0" borderId="101" xfId="0" applyNumberFormat="1" applyFont="1" applyBorder="1" applyAlignment="1">
      <alignment horizontal="center" vertical="center" wrapText="1"/>
    </xf>
    <xf numFmtId="3" fontId="29" fillId="29" borderId="101" xfId="0" applyNumberFormat="1" applyFont="1" applyFill="1" applyBorder="1" applyAlignment="1">
      <alignment horizontal="center" vertical="center" wrapText="1"/>
    </xf>
    <xf numFmtId="0" fontId="29" fillId="29" borderId="101" xfId="0" applyFont="1" applyFill="1" applyBorder="1" applyAlignment="1">
      <alignment horizontal="center" vertical="center" wrapText="1"/>
    </xf>
    <xf numFmtId="3" fontId="49" fillId="0" borderId="102" xfId="0" applyNumberFormat="1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 wrapText="1"/>
    </xf>
    <xf numFmtId="3" fontId="38" fillId="0" borderId="65" xfId="0" applyNumberFormat="1" applyFont="1" applyBorder="1" applyAlignment="1">
      <alignment horizontal="center" vertical="center" wrapText="1"/>
    </xf>
    <xf numFmtId="3" fontId="38" fillId="29" borderId="65" xfId="0" applyNumberFormat="1" applyFont="1" applyFill="1" applyBorder="1" applyAlignment="1">
      <alignment horizontal="center" vertical="center" wrapText="1"/>
    </xf>
    <xf numFmtId="3" fontId="52" fillId="0" borderId="103" xfId="0" applyNumberFormat="1" applyFont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 wrapText="1"/>
    </xf>
    <xf numFmtId="3" fontId="53" fillId="38" borderId="55" xfId="0" applyNumberFormat="1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54" fillId="0" borderId="104" xfId="0" applyFont="1" applyBorder="1" applyAlignment="1">
      <alignment vertical="center" wrapText="1"/>
    </xf>
    <xf numFmtId="0" fontId="42" fillId="0" borderId="105" xfId="0" applyFont="1" applyBorder="1" applyAlignment="1">
      <alignment horizontal="center" vertical="center"/>
    </xf>
    <xf numFmtId="0" fontId="42" fillId="0" borderId="106" xfId="0" applyFont="1" applyBorder="1" applyAlignment="1">
      <alignment horizontal="left" vertical="center"/>
    </xf>
    <xf numFmtId="0" fontId="42" fillId="0" borderId="107" xfId="0" applyFont="1" applyBorder="1" applyAlignment="1">
      <alignment horizontal="left" vertical="center" wrapText="1"/>
    </xf>
    <xf numFmtId="3" fontId="42" fillId="29" borderId="107" xfId="0" applyNumberFormat="1" applyFont="1" applyFill="1" applyBorder="1" applyAlignment="1">
      <alignment horizontal="center" vertical="center"/>
    </xf>
    <xf numFmtId="3" fontId="42" fillId="31" borderId="105" xfId="0" applyNumberFormat="1" applyFont="1" applyFill="1" applyBorder="1" applyAlignment="1">
      <alignment horizontal="center" vertical="center"/>
    </xf>
    <xf numFmtId="3" fontId="42" fillId="0" borderId="84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 wrapText="1"/>
    </xf>
    <xf numFmtId="3" fontId="39" fillId="39" borderId="19" xfId="0" applyNumberFormat="1" applyFont="1" applyFill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3" fontId="49" fillId="0" borderId="38" xfId="0" applyNumberFormat="1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right" vertical="center" wrapText="1"/>
    </xf>
    <xf numFmtId="0" fontId="29" fillId="0" borderId="110" xfId="0" applyFont="1" applyFill="1" applyBorder="1" applyAlignment="1">
      <alignment horizontal="center" vertical="center" wrapText="1"/>
    </xf>
    <xf numFmtId="3" fontId="29" fillId="0" borderId="110" xfId="0" applyNumberFormat="1" applyFont="1" applyFill="1" applyBorder="1" applyAlignment="1">
      <alignment horizontal="center" vertical="center" wrapText="1"/>
    </xf>
    <xf numFmtId="3" fontId="29" fillId="34" borderId="110" xfId="0" applyNumberFormat="1" applyFont="1" applyFill="1" applyBorder="1" applyAlignment="1">
      <alignment horizontal="center" vertical="center" wrapText="1"/>
    </xf>
    <xf numFmtId="3" fontId="49" fillId="0" borderId="111" xfId="0" applyNumberFormat="1" applyFont="1" applyBorder="1" applyAlignment="1">
      <alignment horizontal="center" vertical="center"/>
    </xf>
    <xf numFmtId="0" fontId="24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3" fontId="29" fillId="34" borderId="101" xfId="0" applyNumberFormat="1" applyFont="1" applyFill="1" applyBorder="1" applyAlignment="1">
      <alignment horizontal="center" vertical="center" wrapText="1"/>
    </xf>
    <xf numFmtId="0" fontId="29" fillId="34" borderId="101" xfId="0" applyFont="1" applyFill="1" applyBorder="1" applyAlignment="1">
      <alignment horizontal="center" vertical="center" wrapText="1"/>
    </xf>
    <xf numFmtId="0" fontId="29" fillId="34" borderId="84" xfId="0" applyFont="1" applyFill="1" applyBorder="1" applyAlignment="1">
      <alignment horizontal="center" vertical="center" wrapText="1"/>
    </xf>
    <xf numFmtId="3" fontId="38" fillId="34" borderId="65" xfId="0" applyNumberFormat="1" applyFont="1" applyFill="1" applyBorder="1" applyAlignment="1">
      <alignment horizontal="center" vertical="center" wrapText="1"/>
    </xf>
    <xf numFmtId="3" fontId="38" fillId="34" borderId="14" xfId="0" applyNumberFormat="1" applyFont="1" applyFill="1" applyBorder="1" applyAlignment="1">
      <alignment horizontal="center" vertical="center" wrapText="1"/>
    </xf>
    <xf numFmtId="3" fontId="42" fillId="29" borderId="14" xfId="0" applyNumberFormat="1" applyFont="1" applyFill="1" applyBorder="1" applyAlignment="1">
      <alignment horizontal="center" vertical="center"/>
    </xf>
    <xf numFmtId="165" fontId="39" fillId="31" borderId="19" xfId="0" applyNumberFormat="1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9" fillId="22" borderId="112" xfId="0" applyFont="1" applyFill="1" applyBorder="1" applyAlignment="1">
      <alignment horizontal="center" vertical="center" wrapText="1"/>
    </xf>
    <xf numFmtId="0" fontId="57" fillId="4" borderId="113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3" fontId="42" fillId="29" borderId="105" xfId="0" applyNumberFormat="1" applyFont="1" applyFill="1" applyBorder="1" applyAlignment="1">
      <alignment horizontal="center" vertical="center"/>
    </xf>
    <xf numFmtId="0" fontId="57" fillId="4" borderId="39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/>
    </xf>
    <xf numFmtId="0" fontId="29" fillId="4" borderId="59" xfId="0" applyFont="1" applyFill="1" applyBorder="1" applyAlignment="1">
      <alignment/>
    </xf>
    <xf numFmtId="0" fontId="29" fillId="4" borderId="114" xfId="0" applyFont="1" applyFill="1" applyBorder="1" applyAlignment="1">
      <alignment/>
    </xf>
    <xf numFmtId="3" fontId="42" fillId="0" borderId="95" xfId="0" applyNumberFormat="1" applyFont="1" applyFill="1" applyBorder="1" applyAlignment="1">
      <alignment horizontal="center" vertical="center" wrapText="1"/>
    </xf>
    <xf numFmtId="3" fontId="42" fillId="0" borderId="84" xfId="0" applyNumberFormat="1" applyFont="1" applyBorder="1" applyAlignment="1">
      <alignment horizontal="center" vertical="center"/>
    </xf>
    <xf numFmtId="3" fontId="39" fillId="30" borderId="14" xfId="0" applyNumberFormat="1" applyFont="1" applyFill="1" applyBorder="1" applyAlignment="1">
      <alignment horizontal="center" vertical="center"/>
    </xf>
    <xf numFmtId="0" fontId="44" fillId="22" borderId="112" xfId="0" applyFont="1" applyFill="1" applyBorder="1" applyAlignment="1">
      <alignment horizontal="center" vertical="center"/>
    </xf>
    <xf numFmtId="0" fontId="39" fillId="22" borderId="115" xfId="0" applyFont="1" applyFill="1" applyBorder="1" applyAlignment="1">
      <alignment horizontal="center" vertical="center"/>
    </xf>
    <xf numFmtId="3" fontId="29" fillId="22" borderId="14" xfId="0" applyNumberFormat="1" applyFont="1" applyFill="1" applyBorder="1" applyAlignment="1">
      <alignment horizontal="center" vertical="center"/>
    </xf>
    <xf numFmtId="3" fontId="39" fillId="31" borderId="19" xfId="0" applyNumberFormat="1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75" xfId="0" applyBorder="1" applyAlignment="1">
      <alignment vertical="center"/>
    </xf>
    <xf numFmtId="164" fontId="19" fillId="0" borderId="116" xfId="0" applyNumberFormat="1" applyFont="1" applyBorder="1" applyAlignment="1">
      <alignment horizontal="center" vertical="top" wrapText="1"/>
    </xf>
    <xf numFmtId="0" fontId="0" fillId="0" borderId="113" xfId="0" applyBorder="1" applyAlignment="1">
      <alignment horizontal="center" vertical="top" wrapText="1"/>
    </xf>
    <xf numFmtId="0" fontId="0" fillId="0" borderId="117" xfId="0" applyBorder="1" applyAlignment="1">
      <alignment horizontal="center" vertical="top" wrapText="1"/>
    </xf>
    <xf numFmtId="0" fontId="39" fillId="22" borderId="4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57" fillId="4" borderId="62" xfId="0" applyFont="1" applyFill="1" applyBorder="1" applyAlignment="1">
      <alignment horizontal="center" vertical="center" wrapText="1"/>
    </xf>
    <xf numFmtId="0" fontId="57" fillId="4" borderId="119" xfId="0" applyFont="1" applyFill="1" applyBorder="1" applyAlignment="1">
      <alignment horizontal="center" vertical="center" wrapText="1"/>
    </xf>
    <xf numFmtId="0" fontId="57" fillId="4" borderId="120" xfId="0" applyFont="1" applyFill="1" applyBorder="1" applyAlignment="1">
      <alignment horizontal="center" vertical="center" wrapText="1"/>
    </xf>
    <xf numFmtId="0" fontId="57" fillId="4" borderId="113" xfId="0" applyFont="1" applyFill="1" applyBorder="1" applyAlignment="1">
      <alignment horizontal="center" vertical="center" wrapText="1"/>
    </xf>
    <xf numFmtId="0" fontId="39" fillId="30" borderId="1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21" xfId="0" applyFont="1" applyFill="1" applyBorder="1" applyAlignment="1">
      <alignment horizontal="left" vertical="center" wrapText="1"/>
    </xf>
    <xf numFmtId="0" fontId="39" fillId="22" borderId="28" xfId="0" applyFont="1" applyFill="1" applyBorder="1" applyAlignment="1">
      <alignment horizontal="center" vertical="center"/>
    </xf>
    <xf numFmtId="0" fontId="39" fillId="22" borderId="1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39" fillId="30" borderId="122" xfId="0" applyFont="1" applyFill="1" applyBorder="1" applyAlignment="1">
      <alignment horizontal="center" vertical="center" wrapText="1"/>
    </xf>
    <xf numFmtId="0" fontId="39" fillId="30" borderId="123" xfId="0" applyFont="1" applyFill="1" applyBorder="1" applyAlignment="1">
      <alignment horizontal="center" vertical="center" wrapText="1"/>
    </xf>
    <xf numFmtId="0" fontId="39" fillId="32" borderId="2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90"/>
    </xf>
    <xf numFmtId="0" fontId="39" fillId="22" borderId="13" xfId="0" applyFont="1" applyFill="1" applyBorder="1" applyAlignment="1">
      <alignment horizontal="left" vertical="center" wrapText="1"/>
    </xf>
    <xf numFmtId="0" fontId="39" fillId="22" borderId="22" xfId="0" applyFont="1" applyFill="1" applyBorder="1" applyAlignment="1">
      <alignment horizontal="left" vertical="center" wrapText="1"/>
    </xf>
    <xf numFmtId="0" fontId="39" fillId="22" borderId="71" xfId="0" applyFont="1" applyFill="1" applyBorder="1" applyAlignment="1">
      <alignment horizontal="center" vertical="center"/>
    </xf>
    <xf numFmtId="0" fontId="39" fillId="22" borderId="112" xfId="0" applyFont="1" applyFill="1" applyBorder="1" applyAlignment="1">
      <alignment horizontal="center" vertical="center" wrapText="1"/>
    </xf>
    <xf numFmtId="0" fontId="39" fillId="22" borderId="124" xfId="0" applyFont="1" applyFill="1" applyBorder="1" applyAlignment="1">
      <alignment horizontal="center" vertical="center" wrapText="1"/>
    </xf>
    <xf numFmtId="0" fontId="39" fillId="22" borderId="121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61" xfId="0" applyFont="1" applyBorder="1" applyAlignment="1">
      <alignment vertical="center"/>
    </xf>
    <xf numFmtId="0" fontId="42" fillId="0" borderId="22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61" xfId="0" applyFont="1" applyBorder="1" applyAlignment="1">
      <alignment horizontal="left" vertical="center"/>
    </xf>
    <xf numFmtId="0" fontId="39" fillId="22" borderId="29" xfId="0" applyFont="1" applyFill="1" applyBorder="1" applyAlignment="1">
      <alignment horizontal="center" vertical="center"/>
    </xf>
    <xf numFmtId="0" fontId="39" fillId="22" borderId="71" xfId="0" applyFont="1" applyFill="1" applyBorder="1" applyAlignment="1">
      <alignment horizontal="center" vertical="center" wrapText="1"/>
    </xf>
    <xf numFmtId="0" fontId="39" fillId="22" borderId="115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3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42" fillId="0" borderId="127" xfId="0" applyFont="1" applyFill="1" applyBorder="1" applyAlignment="1">
      <alignment horizontal="center" vertical="center" textRotation="90" wrapText="1"/>
    </xf>
    <xf numFmtId="0" fontId="42" fillId="0" borderId="128" xfId="0" applyFont="1" applyFill="1" applyBorder="1" applyAlignment="1">
      <alignment horizontal="center" vertical="center" textRotation="90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39" fillId="22" borderId="1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textRotation="90"/>
    </xf>
    <xf numFmtId="0" fontId="39" fillId="22" borderId="130" xfId="0" applyFont="1" applyFill="1" applyBorder="1" applyAlignment="1">
      <alignment horizontal="center" vertical="center" wrapText="1"/>
    </xf>
    <xf numFmtId="0" fontId="39" fillId="22" borderId="131" xfId="0" applyFont="1" applyFill="1" applyBorder="1" applyAlignment="1">
      <alignment horizontal="center" vertical="center" wrapText="1"/>
    </xf>
    <xf numFmtId="0" fontId="39" fillId="22" borderId="0" xfId="0" applyFont="1" applyFill="1" applyBorder="1" applyAlignment="1">
      <alignment horizontal="center" vertical="center" wrapText="1"/>
    </xf>
    <xf numFmtId="0" fontId="39" fillId="22" borderId="132" xfId="0" applyFont="1" applyFill="1" applyBorder="1" applyAlignment="1">
      <alignment horizontal="center" vertical="center" wrapText="1"/>
    </xf>
    <xf numFmtId="0" fontId="39" fillId="22" borderId="113" xfId="0" applyFont="1" applyFill="1" applyBorder="1" applyAlignment="1">
      <alignment horizontal="center" vertical="center" wrapText="1"/>
    </xf>
    <xf numFmtId="0" fontId="39" fillId="2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9" fillId="22" borderId="133" xfId="0" applyFont="1" applyFill="1" applyBorder="1" applyAlignment="1">
      <alignment horizontal="center" vertical="center"/>
    </xf>
    <xf numFmtId="0" fontId="39" fillId="22" borderId="26" xfId="0" applyFont="1" applyFill="1" applyBorder="1" applyAlignment="1">
      <alignment horizontal="center" vertical="center"/>
    </xf>
    <xf numFmtId="0" fontId="39" fillId="22" borderId="134" xfId="0" applyFont="1" applyFill="1" applyBorder="1" applyAlignment="1">
      <alignment horizontal="center" vertical="center"/>
    </xf>
    <xf numFmtId="0" fontId="39" fillId="30" borderId="30" xfId="0" applyFont="1" applyFill="1" applyBorder="1" applyAlignment="1">
      <alignment horizontal="center" vertical="center" wrapText="1"/>
    </xf>
    <xf numFmtId="0" fontId="39" fillId="22" borderId="135" xfId="0" applyFont="1" applyFill="1" applyBorder="1" applyAlignment="1">
      <alignment horizontal="center" vertical="center"/>
    </xf>
    <xf numFmtId="0" fontId="39" fillId="32" borderId="136" xfId="0" applyFont="1" applyFill="1" applyBorder="1" applyAlignment="1">
      <alignment horizontal="center" vertical="center"/>
    </xf>
    <xf numFmtId="0" fontId="44" fillId="22" borderId="11" xfId="0" applyFont="1" applyFill="1" applyBorder="1" applyAlignment="1">
      <alignment horizontal="center" vertical="center"/>
    </xf>
    <xf numFmtId="0" fontId="44" fillId="22" borderId="44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57" fillId="4" borderId="113" xfId="0" applyFont="1" applyFill="1" applyBorder="1" applyAlignment="1">
      <alignment horizontal="center" vertical="top"/>
    </xf>
    <xf numFmtId="0" fontId="39" fillId="22" borderId="10" xfId="0" applyFont="1" applyFill="1" applyBorder="1" applyAlignment="1">
      <alignment horizontal="center" vertical="center"/>
    </xf>
    <xf numFmtId="0" fontId="39" fillId="22" borderId="115" xfId="0" applyFont="1" applyFill="1" applyBorder="1" applyAlignment="1">
      <alignment horizontal="center" vertical="center"/>
    </xf>
    <xf numFmtId="0" fontId="39" fillId="22" borderId="112" xfId="0" applyFont="1" applyFill="1" applyBorder="1" applyAlignment="1">
      <alignment horizontal="center" vertical="center"/>
    </xf>
    <xf numFmtId="0" fontId="39" fillId="22" borderId="124" xfId="0" applyFont="1" applyFill="1" applyBorder="1" applyAlignment="1">
      <alignment horizontal="center" vertical="center"/>
    </xf>
    <xf numFmtId="0" fontId="44" fillId="22" borderId="115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3" fontId="49" fillId="0" borderId="16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3" fontId="49" fillId="0" borderId="87" xfId="0" applyNumberFormat="1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29" fillId="34" borderId="16" xfId="0" applyNumberFormat="1" applyFont="1" applyFill="1" applyBorder="1" applyAlignment="1">
      <alignment horizontal="center" vertical="center" wrapText="1"/>
    </xf>
    <xf numFmtId="3" fontId="49" fillId="34" borderId="16" xfId="0" applyNumberFormat="1" applyFont="1" applyFill="1" applyBorder="1" applyAlignment="1">
      <alignment horizontal="center" vertical="center" wrapText="1"/>
    </xf>
    <xf numFmtId="0" fontId="58" fillId="40" borderId="16" xfId="0" applyFont="1" applyFill="1" applyBorder="1" applyAlignment="1">
      <alignment horizontal="center" vertical="center" wrapText="1"/>
    </xf>
    <xf numFmtId="0" fontId="27" fillId="37" borderId="36" xfId="0" applyFont="1" applyFill="1" applyBorder="1" applyAlignment="1">
      <alignment horizontal="center" vertical="center"/>
    </xf>
    <xf numFmtId="0" fontId="58" fillId="40" borderId="138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38" fillId="40" borderId="65" xfId="0" applyFont="1" applyFill="1" applyBorder="1" applyAlignment="1">
      <alignment horizontal="center" vertical="center" wrapText="1"/>
    </xf>
    <xf numFmtId="0" fontId="58" fillId="40" borderId="139" xfId="0" applyFont="1" applyFill="1" applyBorder="1" applyAlignment="1">
      <alignment horizontal="center" vertical="center" wrapText="1"/>
    </xf>
    <xf numFmtId="0" fontId="58" fillId="40" borderId="140" xfId="0" applyFont="1" applyFill="1" applyBorder="1" applyAlignment="1">
      <alignment horizontal="center" vertical="center" wrapText="1"/>
    </xf>
    <xf numFmtId="0" fontId="54" fillId="37" borderId="140" xfId="0" applyFont="1" applyFill="1" applyBorder="1" applyAlignment="1">
      <alignment horizontal="center" vertical="center" wrapText="1"/>
    </xf>
    <xf numFmtId="0" fontId="27" fillId="37" borderId="14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8" fillId="40" borderId="16" xfId="0" applyFont="1" applyFill="1" applyBorder="1" applyAlignment="1">
      <alignment horizontal="center" vertical="center" wrapText="1"/>
    </xf>
    <xf numFmtId="0" fontId="38" fillId="40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58" fillId="40" borderId="142" xfId="0" applyFont="1" applyFill="1" applyBorder="1" applyAlignment="1">
      <alignment horizontal="center" vertical="center"/>
    </xf>
    <xf numFmtId="0" fontId="58" fillId="40" borderId="79" xfId="0" applyFont="1" applyFill="1" applyBorder="1" applyAlignment="1">
      <alignment horizontal="center" vertical="center"/>
    </xf>
    <xf numFmtId="0" fontId="54" fillId="37" borderId="79" xfId="0" applyFont="1" applyFill="1" applyBorder="1" applyAlignment="1">
      <alignment horizontal="center" vertical="center"/>
    </xf>
    <xf numFmtId="0" fontId="27" fillId="37" borderId="90" xfId="0" applyFont="1" applyFill="1" applyBorder="1" applyAlignment="1">
      <alignment horizontal="center" vertical="center"/>
    </xf>
    <xf numFmtId="0" fontId="58" fillId="40" borderId="138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9" fillId="40" borderId="138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/>
    </xf>
    <xf numFmtId="0" fontId="58" fillId="40" borderId="65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5" xfId="0" applyBorder="1" applyAlignment="1">
      <alignment vertical="center"/>
    </xf>
    <xf numFmtId="0" fontId="45" fillId="0" borderId="16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57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 vertical="center"/>
    </xf>
    <xf numFmtId="0" fontId="46" fillId="41" borderId="143" xfId="0" applyFont="1" applyFill="1" applyBorder="1" applyAlignment="1">
      <alignment horizontal="center" vertical="center"/>
    </xf>
    <xf numFmtId="0" fontId="46" fillId="41" borderId="144" xfId="0" applyFont="1" applyFill="1" applyBorder="1" applyAlignment="1">
      <alignment horizontal="center" vertical="center"/>
    </xf>
    <xf numFmtId="0" fontId="46" fillId="41" borderId="145" xfId="0" applyFont="1" applyFill="1" applyBorder="1" applyAlignment="1">
      <alignment horizontal="center" vertical="center"/>
    </xf>
    <xf numFmtId="0" fontId="46" fillId="41" borderId="146" xfId="0" applyFont="1" applyFill="1" applyBorder="1" applyAlignment="1">
      <alignment horizontal="center" vertical="center"/>
    </xf>
    <xf numFmtId="0" fontId="46" fillId="41" borderId="134" xfId="0" applyFont="1" applyFill="1" applyBorder="1" applyAlignment="1">
      <alignment horizontal="center" vertical="center"/>
    </xf>
    <xf numFmtId="0" fontId="46" fillId="41" borderId="147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 wrapText="1"/>
    </xf>
    <xf numFmtId="0" fontId="38" fillId="40" borderId="28" xfId="0" applyFont="1" applyFill="1" applyBorder="1" applyAlignment="1">
      <alignment horizontal="center" vertical="center" wrapText="1"/>
    </xf>
    <xf numFmtId="0" fontId="58" fillId="40" borderId="88" xfId="0" applyFont="1" applyFill="1" applyBorder="1" applyAlignment="1">
      <alignment horizontal="center" vertical="center"/>
    </xf>
    <xf numFmtId="0" fontId="58" fillId="40" borderId="56" xfId="0" applyFont="1" applyFill="1" applyBorder="1" applyAlignment="1">
      <alignment horizontal="center" vertical="center" wrapText="1"/>
    </xf>
    <xf numFmtId="0" fontId="58" fillId="40" borderId="56" xfId="0" applyFont="1" applyFill="1" applyBorder="1" applyAlignment="1">
      <alignment horizontal="center" vertical="center"/>
    </xf>
    <xf numFmtId="0" fontId="59" fillId="40" borderId="56" xfId="0" applyFont="1" applyFill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56" fillId="28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58" fillId="40" borderId="148" xfId="0" applyFont="1" applyFill="1" applyBorder="1" applyAlignment="1">
      <alignment horizontal="center" vertical="center" wrapText="1"/>
    </xf>
    <xf numFmtId="0" fontId="29" fillId="0" borderId="142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9" fillId="0" borderId="138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29" fillId="0" borderId="138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ROPA\Moje%20dokumenty\Monika\Bud&#380;et%20Gminy%202013\Bud&#380;et%202013%20proj%20w&#322;a&#347;ciwy\UCHWALA_2013_WPF\UCHW_2013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  <sheetDataSet>
      <sheetData sheetId="4">
        <row r="13">
          <cell r="D13">
            <v>81699693</v>
          </cell>
        </row>
        <row r="14">
          <cell r="D14">
            <v>80665439</v>
          </cell>
        </row>
        <row r="15">
          <cell r="D15">
            <v>1034254</v>
          </cell>
        </row>
        <row r="16">
          <cell r="D16">
            <v>197354</v>
          </cell>
        </row>
        <row r="17">
          <cell r="D17">
            <v>71551205</v>
          </cell>
        </row>
        <row r="24">
          <cell r="D24">
            <v>3719761</v>
          </cell>
        </row>
        <row r="28">
          <cell r="D28">
            <v>4502192</v>
          </cell>
        </row>
        <row r="29">
          <cell r="D29">
            <v>3463314</v>
          </cell>
        </row>
        <row r="33">
          <cell r="D33">
            <v>1038878</v>
          </cell>
        </row>
        <row r="34">
          <cell r="D34">
            <v>0</v>
          </cell>
        </row>
        <row r="36">
          <cell r="D36">
            <v>33260582</v>
          </cell>
        </row>
        <row r="52">
          <cell r="D52">
            <v>25140000</v>
          </cell>
        </row>
      </sheetData>
      <sheetData sheetId="5">
        <row r="10">
          <cell r="C10">
            <v>45737732</v>
          </cell>
        </row>
        <row r="24">
          <cell r="C24">
            <v>105850665</v>
          </cell>
        </row>
        <row r="25">
          <cell r="C25">
            <v>72590083</v>
          </cell>
        </row>
        <row r="46">
          <cell r="C46">
            <v>28859761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8" t="s">
        <v>221</v>
      </c>
      <c r="B1" s="598"/>
      <c r="C1" s="598"/>
      <c r="D1" s="598"/>
      <c r="E1" s="598"/>
      <c r="F1" s="598"/>
      <c r="G1" s="598"/>
    </row>
    <row r="2" spans="1:11" ht="21.75" customHeight="1" thickBot="1">
      <c r="A2" s="352" t="s">
        <v>0</v>
      </c>
      <c r="B2" s="353"/>
      <c r="C2" s="354" t="s">
        <v>1</v>
      </c>
      <c r="D2" s="354" t="s">
        <v>2</v>
      </c>
      <c r="E2" s="355" t="s">
        <v>3</v>
      </c>
      <c r="F2" s="354" t="s">
        <v>4</v>
      </c>
      <c r="G2" s="356" t="s">
        <v>5</v>
      </c>
      <c r="H2" s="357" t="s">
        <v>215</v>
      </c>
      <c r="I2" s="358" t="s">
        <v>3</v>
      </c>
      <c r="J2" s="359" t="s">
        <v>217</v>
      </c>
      <c r="K2" s="359" t="s">
        <v>3</v>
      </c>
    </row>
    <row r="3" spans="1:11" ht="12.75">
      <c r="A3" s="360" t="s">
        <v>6</v>
      </c>
      <c r="B3" s="361">
        <v>90</v>
      </c>
      <c r="C3" s="362">
        <v>0</v>
      </c>
      <c r="D3" s="12">
        <v>0</v>
      </c>
      <c r="E3" s="13">
        <v>0</v>
      </c>
      <c r="F3" s="13">
        <v>0</v>
      </c>
      <c r="G3" s="214"/>
      <c r="H3" s="363">
        <v>2141585</v>
      </c>
      <c r="I3" s="364">
        <v>733601</v>
      </c>
      <c r="J3" s="365">
        <f>H3+'spł poż'!F8</f>
        <v>2191585</v>
      </c>
      <c r="K3" s="365">
        <f>I3+'spł poż'!G8</f>
        <v>907289</v>
      </c>
    </row>
    <row r="4" spans="1:11" ht="0.75" customHeight="1" thickBot="1">
      <c r="A4" s="366" t="s">
        <v>7</v>
      </c>
      <c r="B4" s="367">
        <v>90</v>
      </c>
      <c r="C4" s="368">
        <f>C3</f>
        <v>0</v>
      </c>
      <c r="D4" s="12">
        <v>0</v>
      </c>
      <c r="E4" s="174">
        <f>B4*C4*5.5%/360</f>
        <v>0</v>
      </c>
      <c r="F4" s="174">
        <v>0</v>
      </c>
      <c r="G4" s="215">
        <f>E3+E4</f>
        <v>0</v>
      </c>
      <c r="H4" s="369"/>
      <c r="I4" s="370"/>
      <c r="J4" s="371"/>
      <c r="K4" s="371"/>
    </row>
    <row r="5" spans="1:36" s="2" customFormat="1" ht="12.75">
      <c r="A5" s="372" t="s">
        <v>8</v>
      </c>
      <c r="B5" s="373">
        <v>90</v>
      </c>
      <c r="C5" s="178">
        <f>C4-D4</f>
        <v>0</v>
      </c>
      <c r="D5" s="178">
        <v>0</v>
      </c>
      <c r="E5" s="179">
        <f>B5*C5*5.5%/360</f>
        <v>0</v>
      </c>
      <c r="F5" s="179"/>
      <c r="G5" s="216"/>
      <c r="H5" s="239"/>
      <c r="I5" s="240"/>
      <c r="J5" s="231"/>
      <c r="K5" s="23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74" t="s">
        <v>9</v>
      </c>
      <c r="B6" s="375">
        <v>90</v>
      </c>
      <c r="C6" s="183">
        <f>C5-D5</f>
        <v>0</v>
      </c>
      <c r="D6" s="183">
        <v>0</v>
      </c>
      <c r="E6" s="184">
        <f>B6*C6*5.5%/360</f>
        <v>0</v>
      </c>
      <c r="F6" s="184"/>
      <c r="G6" s="217"/>
      <c r="H6" s="369"/>
      <c r="I6" s="370"/>
      <c r="J6" s="376"/>
      <c r="K6" s="376"/>
    </row>
    <row r="7" spans="1:11" ht="12.75">
      <c r="A7" s="374" t="s">
        <v>10</v>
      </c>
      <c r="B7" s="375">
        <v>90</v>
      </c>
      <c r="C7" s="183">
        <v>10000000</v>
      </c>
      <c r="D7" s="183">
        <v>0</v>
      </c>
      <c r="E7" s="184">
        <f>B7*C7*7%/360</f>
        <v>175000.00000000003</v>
      </c>
      <c r="F7" s="184"/>
      <c r="G7" s="217"/>
      <c r="H7" s="369"/>
      <c r="I7" s="370"/>
      <c r="J7" s="376"/>
      <c r="K7" s="376"/>
    </row>
    <row r="8" spans="1:11" ht="13.5" thickBot="1">
      <c r="A8" s="377" t="s">
        <v>11</v>
      </c>
      <c r="B8" s="378">
        <v>90</v>
      </c>
      <c r="C8" s="188">
        <v>10000000</v>
      </c>
      <c r="D8" s="188">
        <v>0</v>
      </c>
      <c r="E8" s="184">
        <f>B8*C8*7%/360</f>
        <v>175000.00000000003</v>
      </c>
      <c r="F8" s="189">
        <f>D6+D7+D8</f>
        <v>0</v>
      </c>
      <c r="G8" s="218">
        <f>SUM(E5:E8)</f>
        <v>350000.00000000006</v>
      </c>
      <c r="H8" s="379">
        <v>3485040</v>
      </c>
      <c r="I8" s="380">
        <v>697952</v>
      </c>
      <c r="J8" s="381">
        <f>H8+F8+'spł poż'!F8</f>
        <v>3535040</v>
      </c>
      <c r="K8" s="381">
        <f>I8+G8+'spł poż'!G8</f>
        <v>1221640</v>
      </c>
    </row>
    <row r="9" spans="1:11" ht="12.75">
      <c r="A9" s="372" t="s">
        <v>12</v>
      </c>
      <c r="B9" s="373">
        <v>90</v>
      </c>
      <c r="C9" s="178">
        <f>C8-D8</f>
        <v>10000000</v>
      </c>
      <c r="D9" s="178"/>
      <c r="E9" s="179">
        <f>B9*C9*0.07/360</f>
        <v>175000.00000000003</v>
      </c>
      <c r="F9" s="179"/>
      <c r="G9" s="216"/>
      <c r="H9" s="369"/>
      <c r="I9" s="370"/>
      <c r="J9" s="382">
        <f>H9+F9+'spł poż'!F9</f>
        <v>0</v>
      </c>
      <c r="K9" s="382">
        <f>I9+G9+'spł poż'!G9</f>
        <v>0</v>
      </c>
    </row>
    <row r="10" spans="1:11" ht="12.75">
      <c r="A10" s="374" t="s">
        <v>13</v>
      </c>
      <c r="B10" s="375">
        <v>90</v>
      </c>
      <c r="C10" s="183">
        <f aca="true" t="shared" si="0" ref="C10:C43">C9-D9</f>
        <v>10000000</v>
      </c>
      <c r="D10" s="183">
        <v>50000</v>
      </c>
      <c r="E10" s="184">
        <f aca="true" t="shared" si="1" ref="E10:E40">B10*C10*0.07/360</f>
        <v>175000.00000000003</v>
      </c>
      <c r="F10" s="184"/>
      <c r="G10" s="217"/>
      <c r="H10" s="369"/>
      <c r="I10" s="370"/>
      <c r="J10" s="383">
        <f>H10+F10+'spł poż'!F10</f>
        <v>0</v>
      </c>
      <c r="K10" s="383">
        <f>I10+G10+'spł poż'!G10</f>
        <v>0</v>
      </c>
    </row>
    <row r="11" spans="1:11" ht="12.75">
      <c r="A11" s="374" t="s">
        <v>14</v>
      </c>
      <c r="B11" s="375">
        <v>90</v>
      </c>
      <c r="C11" s="183">
        <f t="shared" si="0"/>
        <v>9950000</v>
      </c>
      <c r="D11" s="183"/>
      <c r="E11" s="184">
        <f t="shared" si="1"/>
        <v>174125.00000000003</v>
      </c>
      <c r="F11" s="184"/>
      <c r="G11" s="217"/>
      <c r="H11" s="369"/>
      <c r="I11" s="370"/>
      <c r="J11" s="383">
        <f>H11+F11+'spł poż'!F11</f>
        <v>0</v>
      </c>
      <c r="K11" s="383">
        <f>I11+G11+'spł poż'!G11</f>
        <v>0</v>
      </c>
    </row>
    <row r="12" spans="1:11" ht="13.5" thickBot="1">
      <c r="A12" s="377" t="s">
        <v>15</v>
      </c>
      <c r="B12" s="378">
        <v>90</v>
      </c>
      <c r="C12" s="188">
        <f t="shared" si="0"/>
        <v>9950000</v>
      </c>
      <c r="D12" s="188"/>
      <c r="E12" s="189">
        <f t="shared" si="1"/>
        <v>174125.00000000003</v>
      </c>
      <c r="F12" s="189">
        <f>SUM(D9:D12)</f>
        <v>50000</v>
      </c>
      <c r="G12" s="218">
        <f>SUM(E9:E12)</f>
        <v>698250.0000000001</v>
      </c>
      <c r="H12" s="379">
        <v>3616899</v>
      </c>
      <c r="I12" s="380">
        <v>575506</v>
      </c>
      <c r="J12" s="381">
        <f>H12+F12+'spł poż'!F12</f>
        <v>3716899</v>
      </c>
      <c r="K12" s="381">
        <f>I12+G12+'spł poż'!G12</f>
        <v>1443944</v>
      </c>
    </row>
    <row r="13" spans="1:11" ht="12.75">
      <c r="A13" s="372" t="s">
        <v>16</v>
      </c>
      <c r="B13" s="373">
        <v>90</v>
      </c>
      <c r="C13" s="178">
        <f t="shared" si="0"/>
        <v>9950000</v>
      </c>
      <c r="D13" s="178"/>
      <c r="E13" s="179">
        <f t="shared" si="1"/>
        <v>174125.00000000003</v>
      </c>
      <c r="F13" s="179"/>
      <c r="G13" s="216"/>
      <c r="H13" s="369"/>
      <c r="I13" s="370"/>
      <c r="J13" s="382">
        <f>H13+F13+'spł poż'!F13</f>
        <v>0</v>
      </c>
      <c r="K13" s="382">
        <f>I13+G13+'spł poż'!G13</f>
        <v>0</v>
      </c>
    </row>
    <row r="14" spans="1:11" ht="12.75">
      <c r="A14" s="374" t="s">
        <v>17</v>
      </c>
      <c r="B14" s="375">
        <v>90</v>
      </c>
      <c r="C14" s="183">
        <f t="shared" si="0"/>
        <v>9950000</v>
      </c>
      <c r="D14" s="183">
        <v>50000</v>
      </c>
      <c r="E14" s="184">
        <f t="shared" si="1"/>
        <v>174125.00000000003</v>
      </c>
      <c r="F14" s="184"/>
      <c r="G14" s="217"/>
      <c r="H14" s="369"/>
      <c r="I14" s="370"/>
      <c r="J14" s="383">
        <f>H14+F14+'spł poż'!F14</f>
        <v>0</v>
      </c>
      <c r="K14" s="383">
        <f>I14+G14+'spł poż'!G14</f>
        <v>0</v>
      </c>
    </row>
    <row r="15" spans="1:11" ht="12.75">
      <c r="A15" s="374" t="s">
        <v>18</v>
      </c>
      <c r="B15" s="375">
        <v>90</v>
      </c>
      <c r="C15" s="183">
        <f t="shared" si="0"/>
        <v>9900000</v>
      </c>
      <c r="D15" s="183"/>
      <c r="E15" s="184">
        <f t="shared" si="1"/>
        <v>173250.00000000003</v>
      </c>
      <c r="F15" s="184"/>
      <c r="G15" s="217"/>
      <c r="H15" s="369"/>
      <c r="I15" s="370"/>
      <c r="J15" s="383">
        <f>H15+F15+'spł poż'!F15</f>
        <v>0</v>
      </c>
      <c r="K15" s="383">
        <f>I15+G15+'spł poż'!G15</f>
        <v>0</v>
      </c>
    </row>
    <row r="16" spans="1:11" ht="13.5" thickBot="1">
      <c r="A16" s="377" t="s">
        <v>19</v>
      </c>
      <c r="B16" s="378">
        <v>90</v>
      </c>
      <c r="C16" s="188">
        <f t="shared" si="0"/>
        <v>9900000</v>
      </c>
      <c r="D16" s="188"/>
      <c r="E16" s="189">
        <f t="shared" si="1"/>
        <v>173250.00000000003</v>
      </c>
      <c r="F16" s="189">
        <f>SUM(D13:D16)</f>
        <v>50000</v>
      </c>
      <c r="G16" s="218">
        <f>SUM(E13:E16)</f>
        <v>694750.0000000001</v>
      </c>
      <c r="H16" s="379">
        <v>3456453</v>
      </c>
      <c r="I16" s="380">
        <v>349963</v>
      </c>
      <c r="J16" s="381">
        <f>H16+F16+'spł poż'!F16</f>
        <v>3556453</v>
      </c>
      <c r="K16" s="381">
        <f>I16+G16+'spł poż'!G16</f>
        <v>1211401</v>
      </c>
    </row>
    <row r="17" spans="1:11" ht="12.75">
      <c r="A17" s="372" t="s">
        <v>20</v>
      </c>
      <c r="B17" s="373">
        <v>90</v>
      </c>
      <c r="C17" s="178">
        <f t="shared" si="0"/>
        <v>9900000</v>
      </c>
      <c r="D17" s="178">
        <f>D16</f>
        <v>0</v>
      </c>
      <c r="E17" s="179">
        <f t="shared" si="1"/>
        <v>173250.00000000003</v>
      </c>
      <c r="F17" s="179"/>
      <c r="G17" s="216"/>
      <c r="H17" s="369"/>
      <c r="I17" s="370"/>
      <c r="J17" s="382">
        <f>H17+F17+'spł poż'!F17</f>
        <v>0</v>
      </c>
      <c r="K17" s="382">
        <f>I17+G17+'spł poż'!G17</f>
        <v>0</v>
      </c>
    </row>
    <row r="18" spans="1:11" ht="12.75">
      <c r="A18" s="374" t="s">
        <v>21</v>
      </c>
      <c r="B18" s="375">
        <v>90</v>
      </c>
      <c r="C18" s="183">
        <f t="shared" si="0"/>
        <v>9900000</v>
      </c>
      <c r="D18" s="183">
        <v>50000</v>
      </c>
      <c r="E18" s="184">
        <f t="shared" si="1"/>
        <v>173250.00000000003</v>
      </c>
      <c r="F18" s="184"/>
      <c r="G18" s="217"/>
      <c r="H18" s="369"/>
      <c r="I18" s="370"/>
      <c r="J18" s="383">
        <f>H18+F18+'spł poż'!F18</f>
        <v>0</v>
      </c>
      <c r="K18" s="383">
        <f>I18+G18+'spł poż'!G18</f>
        <v>0</v>
      </c>
    </row>
    <row r="19" spans="1:36" s="17" customFormat="1" ht="12.75">
      <c r="A19" s="384" t="s">
        <v>22</v>
      </c>
      <c r="B19" s="385">
        <v>90</v>
      </c>
      <c r="C19" s="183">
        <f t="shared" si="0"/>
        <v>9850000</v>
      </c>
      <c r="D19" s="183"/>
      <c r="E19" s="184">
        <f t="shared" si="1"/>
        <v>172375.00000000003</v>
      </c>
      <c r="F19" s="192"/>
      <c r="G19" s="219"/>
      <c r="H19" s="369"/>
      <c r="I19" s="370"/>
      <c r="J19" s="383">
        <f>H19+F19+'spł poż'!F19</f>
        <v>0</v>
      </c>
      <c r="K19" s="383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86" t="s">
        <v>23</v>
      </c>
      <c r="B20" s="387">
        <v>90</v>
      </c>
      <c r="C20" s="199">
        <f t="shared" si="0"/>
        <v>9850000</v>
      </c>
      <c r="D20" s="212"/>
      <c r="E20" s="200">
        <f t="shared" si="1"/>
        <v>172375.00000000003</v>
      </c>
      <c r="F20" s="201">
        <f>SUM(D17:D20)</f>
        <v>50000</v>
      </c>
      <c r="G20" s="222">
        <f>SUM(E17:E20)</f>
        <v>691250.0000000001</v>
      </c>
      <c r="H20" s="379">
        <v>2500000</v>
      </c>
      <c r="I20" s="380">
        <v>258568</v>
      </c>
      <c r="J20" s="388">
        <f>H20+F20+'spł poż'!F20</f>
        <v>2600000</v>
      </c>
      <c r="K20" s="388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72" t="s">
        <v>24</v>
      </c>
      <c r="B21" s="373">
        <v>90</v>
      </c>
      <c r="C21" s="178">
        <f t="shared" si="0"/>
        <v>9850000</v>
      </c>
      <c r="D21" s="208"/>
      <c r="E21" s="179">
        <f t="shared" si="1"/>
        <v>172375.00000000003</v>
      </c>
      <c r="F21" s="179"/>
      <c r="G21" s="216"/>
      <c r="H21" s="369"/>
      <c r="I21" s="370"/>
      <c r="J21" s="382">
        <f>H21+F21+'spł poż'!F21</f>
        <v>0</v>
      </c>
      <c r="K21" s="382">
        <f>I21+G21+'spł poż'!G21</f>
        <v>0</v>
      </c>
    </row>
    <row r="22" spans="1:11" ht="12.75">
      <c r="A22" s="374" t="s">
        <v>25</v>
      </c>
      <c r="B22" s="375">
        <v>90</v>
      </c>
      <c r="C22" s="183">
        <f t="shared" si="0"/>
        <v>9850000</v>
      </c>
      <c r="D22" s="209">
        <v>50000</v>
      </c>
      <c r="E22" s="184">
        <f t="shared" si="1"/>
        <v>172375.00000000003</v>
      </c>
      <c r="F22" s="184"/>
      <c r="G22" s="217"/>
      <c r="H22" s="369"/>
      <c r="I22" s="370"/>
      <c r="J22" s="383">
        <f>H22+F22+'spł poż'!F22</f>
        <v>0</v>
      </c>
      <c r="K22" s="383">
        <f>I22+G22+'spł poż'!G22</f>
        <v>0</v>
      </c>
    </row>
    <row r="23" spans="1:11" ht="12.75">
      <c r="A23" s="374" t="s">
        <v>26</v>
      </c>
      <c r="B23" s="375">
        <v>90</v>
      </c>
      <c r="C23" s="183">
        <f t="shared" si="0"/>
        <v>9800000</v>
      </c>
      <c r="D23" s="183"/>
      <c r="E23" s="184">
        <f t="shared" si="1"/>
        <v>171500.00000000003</v>
      </c>
      <c r="F23" s="184"/>
      <c r="G23" s="217"/>
      <c r="H23" s="369"/>
      <c r="I23" s="370"/>
      <c r="J23" s="383">
        <f>H23+F23+'spł poż'!F23</f>
        <v>0</v>
      </c>
      <c r="K23" s="383">
        <f>I23+G23+'spł poż'!G23</f>
        <v>0</v>
      </c>
    </row>
    <row r="24" spans="1:11" ht="13.5" thickBot="1">
      <c r="A24" s="377" t="s">
        <v>27</v>
      </c>
      <c r="B24" s="378">
        <v>90</v>
      </c>
      <c r="C24" s="188">
        <f t="shared" si="0"/>
        <v>9800000</v>
      </c>
      <c r="D24" s="188"/>
      <c r="E24" s="189">
        <f t="shared" si="1"/>
        <v>171500.00000000003</v>
      </c>
      <c r="F24" s="189">
        <f>SUM(D21:D24)</f>
        <v>50000</v>
      </c>
      <c r="G24" s="218">
        <f>SUM(E21:E24)</f>
        <v>687750.0000000001</v>
      </c>
      <c r="H24" s="379">
        <v>2500000</v>
      </c>
      <c r="I24" s="380">
        <v>171068</v>
      </c>
      <c r="J24" s="381">
        <f>H24+F24+'spł poż'!F24</f>
        <v>2600000</v>
      </c>
      <c r="K24" s="381">
        <f>I24+G24+'spł poż'!G24</f>
        <v>1018506.0000000001</v>
      </c>
    </row>
    <row r="25" spans="1:36" s="17" customFormat="1" ht="12.75">
      <c r="A25" s="389" t="s">
        <v>28</v>
      </c>
      <c r="B25" s="390">
        <v>90</v>
      </c>
      <c r="C25" s="178">
        <f t="shared" si="0"/>
        <v>9800000</v>
      </c>
      <c r="D25" s="208"/>
      <c r="E25" s="179">
        <f t="shared" si="1"/>
        <v>171500.00000000003</v>
      </c>
      <c r="F25" s="205"/>
      <c r="G25" s="221"/>
      <c r="H25" s="369"/>
      <c r="I25" s="370"/>
      <c r="J25" s="382">
        <f>H25+F25+'spł poż'!F25</f>
        <v>0</v>
      </c>
      <c r="K25" s="382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84" t="s">
        <v>29</v>
      </c>
      <c r="B26" s="385">
        <v>90</v>
      </c>
      <c r="C26" s="183">
        <f t="shared" si="0"/>
        <v>9800000</v>
      </c>
      <c r="D26" s="209">
        <v>100000</v>
      </c>
      <c r="E26" s="184">
        <f t="shared" si="1"/>
        <v>171500.00000000003</v>
      </c>
      <c r="F26" s="192"/>
      <c r="G26" s="219"/>
      <c r="H26" s="369"/>
      <c r="I26" s="370"/>
      <c r="J26" s="383">
        <f>H26+F26+'spł poż'!F26</f>
        <v>0</v>
      </c>
      <c r="K26" s="383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84" t="s">
        <v>30</v>
      </c>
      <c r="B27" s="385">
        <v>90</v>
      </c>
      <c r="C27" s="183">
        <f t="shared" si="0"/>
        <v>9700000</v>
      </c>
      <c r="D27" s="209"/>
      <c r="E27" s="184">
        <f t="shared" si="1"/>
        <v>169750.00000000003</v>
      </c>
      <c r="F27" s="192"/>
      <c r="G27" s="219"/>
      <c r="H27" s="369"/>
      <c r="I27" s="370"/>
      <c r="J27" s="383">
        <f>H27+F27+'spł poż'!F27</f>
        <v>0</v>
      </c>
      <c r="K27" s="383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91" t="s">
        <v>31</v>
      </c>
      <c r="B28" s="392">
        <v>90</v>
      </c>
      <c r="C28" s="188">
        <f t="shared" si="0"/>
        <v>9700000</v>
      </c>
      <c r="D28" s="210"/>
      <c r="E28" s="189">
        <f t="shared" si="1"/>
        <v>169750.00000000003</v>
      </c>
      <c r="F28" s="195">
        <f>SUM(D25:D28)</f>
        <v>100000</v>
      </c>
      <c r="G28" s="220">
        <f>SUM(E25:E28)</f>
        <v>682500.0000000001</v>
      </c>
      <c r="H28" s="379">
        <v>2376170</v>
      </c>
      <c r="I28" s="380">
        <v>83568</v>
      </c>
      <c r="J28" s="381">
        <f>H28+F28+'spł poż'!F28</f>
        <v>2501170</v>
      </c>
      <c r="K28" s="381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72" t="s">
        <v>32</v>
      </c>
      <c r="B29" s="373">
        <v>90</v>
      </c>
      <c r="C29" s="178">
        <f t="shared" si="0"/>
        <v>9700000</v>
      </c>
      <c r="D29" s="178"/>
      <c r="E29" s="179">
        <f t="shared" si="1"/>
        <v>169750.00000000003</v>
      </c>
      <c r="F29" s="179"/>
      <c r="G29" s="216"/>
      <c r="H29" s="369"/>
      <c r="I29" s="370"/>
      <c r="J29" s="382">
        <f>H29+F29+'spł poż'!F29</f>
        <v>0</v>
      </c>
      <c r="K29" s="382">
        <f>I29+G29+'spł poż'!G29</f>
        <v>0</v>
      </c>
    </row>
    <row r="30" spans="1:11" ht="12.75">
      <c r="A30" s="374" t="s">
        <v>33</v>
      </c>
      <c r="B30" s="375">
        <v>90</v>
      </c>
      <c r="C30" s="183">
        <f t="shared" si="0"/>
        <v>9700000</v>
      </c>
      <c r="D30" s="209">
        <v>1000000</v>
      </c>
      <c r="E30" s="184">
        <f t="shared" si="1"/>
        <v>169750.00000000003</v>
      </c>
      <c r="F30" s="184"/>
      <c r="G30" s="217"/>
      <c r="H30" s="369"/>
      <c r="I30" s="370"/>
      <c r="J30" s="383">
        <f>H30+F30+'spł poż'!F30</f>
        <v>0</v>
      </c>
      <c r="K30" s="383">
        <f>I30+G30+'spł poż'!G30</f>
        <v>0</v>
      </c>
    </row>
    <row r="31" spans="1:11" ht="12.75">
      <c r="A31" s="374" t="s">
        <v>34</v>
      </c>
      <c r="B31" s="375">
        <v>90</v>
      </c>
      <c r="C31" s="183">
        <f t="shared" si="0"/>
        <v>8700000</v>
      </c>
      <c r="D31" s="209"/>
      <c r="E31" s="184">
        <f t="shared" si="1"/>
        <v>152250.00000000003</v>
      </c>
      <c r="F31" s="184"/>
      <c r="G31" s="217"/>
      <c r="H31" s="369"/>
      <c r="I31" s="370"/>
      <c r="J31" s="383">
        <f>H31+F31+'spł poż'!F31</f>
        <v>0</v>
      </c>
      <c r="K31" s="383">
        <f>I31+G31+'spł poż'!G31</f>
        <v>0</v>
      </c>
    </row>
    <row r="32" spans="1:11" ht="13.5" thickBot="1">
      <c r="A32" s="393" t="s">
        <v>35</v>
      </c>
      <c r="B32" s="394">
        <v>90</v>
      </c>
      <c r="C32" s="199">
        <f t="shared" si="0"/>
        <v>8700000</v>
      </c>
      <c r="D32" s="212"/>
      <c r="E32" s="200">
        <f t="shared" si="1"/>
        <v>152250.00000000003</v>
      </c>
      <c r="F32" s="200">
        <f>SUM(D29:D32)</f>
        <v>1000000</v>
      </c>
      <c r="G32" s="395">
        <f>SUM(E29:E32)</f>
        <v>644000.0000000001</v>
      </c>
      <c r="H32" s="379">
        <v>11500</v>
      </c>
      <c r="I32" s="370">
        <v>403</v>
      </c>
      <c r="J32" s="388">
        <f>H32+F32+'spł poż'!F32</f>
        <v>1062028</v>
      </c>
      <c r="K32" s="388">
        <f>I32+G32+'spł poż'!G32</f>
        <v>770831.2600000001</v>
      </c>
    </row>
    <row r="33" spans="1:36" s="17" customFormat="1" ht="12.75">
      <c r="A33" s="389" t="s">
        <v>36</v>
      </c>
      <c r="B33" s="390">
        <v>90</v>
      </c>
      <c r="C33" s="178">
        <f t="shared" si="0"/>
        <v>8700000</v>
      </c>
      <c r="D33" s="208"/>
      <c r="E33" s="179">
        <f t="shared" si="1"/>
        <v>152250.00000000003</v>
      </c>
      <c r="F33" s="205"/>
      <c r="G33" s="221"/>
      <c r="H33" s="369"/>
      <c r="I33" s="370"/>
      <c r="J33" s="382">
        <f>H33+F33+'spł poż'!F33</f>
        <v>0</v>
      </c>
      <c r="K33" s="382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84" t="s">
        <v>37</v>
      </c>
      <c r="B34" s="385">
        <v>90</v>
      </c>
      <c r="C34" s="183">
        <f t="shared" si="0"/>
        <v>8700000</v>
      </c>
      <c r="D34" s="209">
        <v>500000</v>
      </c>
      <c r="E34" s="184">
        <f t="shared" si="1"/>
        <v>152250.00000000003</v>
      </c>
      <c r="F34" s="192"/>
      <c r="G34" s="219"/>
      <c r="H34" s="369"/>
      <c r="I34" s="370"/>
      <c r="J34" s="383">
        <f>H34+F34+'spł poż'!F34</f>
        <v>0</v>
      </c>
      <c r="K34" s="383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84" t="s">
        <v>38</v>
      </c>
      <c r="B35" s="385">
        <v>90</v>
      </c>
      <c r="C35" s="183">
        <f t="shared" si="0"/>
        <v>8200000</v>
      </c>
      <c r="D35" s="209"/>
      <c r="E35" s="184">
        <f t="shared" si="1"/>
        <v>143500.00000000003</v>
      </c>
      <c r="F35" s="192"/>
      <c r="G35" s="219"/>
      <c r="H35" s="369"/>
      <c r="I35" s="370"/>
      <c r="J35" s="383">
        <f>H35+F35+'spł poż'!F35</f>
        <v>0</v>
      </c>
      <c r="K35" s="383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91" t="s">
        <v>39</v>
      </c>
      <c r="B36" s="392">
        <v>90</v>
      </c>
      <c r="C36" s="188">
        <f t="shared" si="0"/>
        <v>8200000</v>
      </c>
      <c r="D36" s="210"/>
      <c r="E36" s="189">
        <f t="shared" si="1"/>
        <v>143500.00000000003</v>
      </c>
      <c r="F36" s="195">
        <f>SUM(D33:D36)</f>
        <v>500000</v>
      </c>
      <c r="G36" s="220">
        <f>SUM(E33:E36)</f>
        <v>591500.0000000001</v>
      </c>
      <c r="H36" s="369"/>
      <c r="I36" s="370"/>
      <c r="J36" s="381">
        <f>H36+F36+'spł poż'!F36</f>
        <v>1250523</v>
      </c>
      <c r="K36" s="381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72" t="s">
        <v>40</v>
      </c>
      <c r="B37" s="373">
        <v>90</v>
      </c>
      <c r="C37" s="178">
        <f t="shared" si="0"/>
        <v>8200000</v>
      </c>
      <c r="D37" s="178">
        <f>D36</f>
        <v>0</v>
      </c>
      <c r="E37" s="179">
        <f t="shared" si="1"/>
        <v>143500.00000000003</v>
      </c>
      <c r="F37" s="179"/>
      <c r="G37" s="216"/>
      <c r="H37" s="369"/>
      <c r="I37" s="370"/>
      <c r="J37" s="382">
        <f>H37+F37+'spł poż'!F37</f>
        <v>0</v>
      </c>
      <c r="K37" s="382">
        <f>I37+G37+'spł poż'!G37</f>
        <v>0</v>
      </c>
    </row>
    <row r="38" spans="1:11" ht="12.75">
      <c r="A38" s="374" t="s">
        <v>41</v>
      </c>
      <c r="B38" s="375">
        <v>90</v>
      </c>
      <c r="C38" s="183">
        <f t="shared" si="0"/>
        <v>8200000</v>
      </c>
      <c r="D38" s="183">
        <v>500000</v>
      </c>
      <c r="E38" s="184">
        <f t="shared" si="1"/>
        <v>143500.00000000003</v>
      </c>
      <c r="F38" s="184"/>
      <c r="G38" s="217"/>
      <c r="H38" s="369"/>
      <c r="I38" s="370"/>
      <c r="J38" s="383">
        <f>H38+F38+'spł poż'!F38</f>
        <v>0</v>
      </c>
      <c r="K38" s="383">
        <f>I38+G38+'spł poż'!G38</f>
        <v>0</v>
      </c>
    </row>
    <row r="39" spans="1:11" ht="12.75">
      <c r="A39" s="374" t="s">
        <v>42</v>
      </c>
      <c r="B39" s="375">
        <v>90</v>
      </c>
      <c r="C39" s="183">
        <f t="shared" si="0"/>
        <v>7700000</v>
      </c>
      <c r="D39" s="183"/>
      <c r="E39" s="184">
        <f t="shared" si="1"/>
        <v>134750.00000000003</v>
      </c>
      <c r="F39" s="184"/>
      <c r="G39" s="217"/>
      <c r="H39" s="369"/>
      <c r="I39" s="370"/>
      <c r="J39" s="383">
        <f>H39+F39+'spł poż'!F39</f>
        <v>0</v>
      </c>
      <c r="K39" s="383">
        <f>I39+G39+'spł poż'!G39</f>
        <v>0</v>
      </c>
    </row>
    <row r="40" spans="1:11" ht="13.5" thickBot="1">
      <c r="A40" s="377" t="s">
        <v>43</v>
      </c>
      <c r="B40" s="378">
        <v>90</v>
      </c>
      <c r="C40" s="188">
        <f t="shared" si="0"/>
        <v>7700000</v>
      </c>
      <c r="D40" s="188"/>
      <c r="E40" s="189">
        <f t="shared" si="1"/>
        <v>134750.00000000003</v>
      </c>
      <c r="F40" s="189">
        <f>SUM(D37:D40)</f>
        <v>500000</v>
      </c>
      <c r="G40" s="218">
        <f>SUM(E37:E40)</f>
        <v>556500.0000000001</v>
      </c>
      <c r="H40" s="369"/>
      <c r="I40" s="370"/>
      <c r="J40" s="381">
        <f>H40+F40+'spł poż'!F40</f>
        <v>1100000</v>
      </c>
      <c r="K40" s="381">
        <f>I40+G40+'spł poż'!G40</f>
        <v>612426.4300000002</v>
      </c>
    </row>
    <row r="41" spans="1:11" ht="12.75">
      <c r="A41" s="372" t="s">
        <v>44</v>
      </c>
      <c r="B41" s="373">
        <v>90</v>
      </c>
      <c r="C41" s="178">
        <f t="shared" si="0"/>
        <v>7700000</v>
      </c>
      <c r="D41" s="178"/>
      <c r="E41" s="179">
        <f aca="true" t="shared" si="2" ref="E41:E48">B41*C41*0.07/360</f>
        <v>134750.00000000003</v>
      </c>
      <c r="F41" s="179"/>
      <c r="G41" s="216"/>
      <c r="H41" s="369"/>
      <c r="I41" s="370"/>
      <c r="J41" s="382">
        <f>H41+F41+'spł poż'!F41</f>
        <v>0</v>
      </c>
      <c r="K41" s="382">
        <f>I41+G41+'spł poż'!G41</f>
        <v>0</v>
      </c>
    </row>
    <row r="42" spans="1:11" ht="12.75">
      <c r="A42" s="374" t="s">
        <v>45</v>
      </c>
      <c r="B42" s="375">
        <v>90</v>
      </c>
      <c r="C42" s="183">
        <f t="shared" si="0"/>
        <v>7700000</v>
      </c>
      <c r="D42" s="183">
        <v>600000</v>
      </c>
      <c r="E42" s="184">
        <f t="shared" si="2"/>
        <v>134750.00000000003</v>
      </c>
      <c r="F42" s="184"/>
      <c r="G42" s="217"/>
      <c r="H42" s="369"/>
      <c r="I42" s="370"/>
      <c r="J42" s="383">
        <f>H42+F42+'spł poż'!F42</f>
        <v>0</v>
      </c>
      <c r="K42" s="383">
        <f>I42+G42+'spł poż'!G42</f>
        <v>0</v>
      </c>
    </row>
    <row r="43" spans="1:11" ht="12.75">
      <c r="A43" s="374" t="s">
        <v>46</v>
      </c>
      <c r="B43" s="375">
        <v>90</v>
      </c>
      <c r="C43" s="183">
        <f t="shared" si="0"/>
        <v>7100000</v>
      </c>
      <c r="D43" s="183">
        <v>600000</v>
      </c>
      <c r="E43" s="184">
        <f t="shared" si="2"/>
        <v>124250.00000000001</v>
      </c>
      <c r="F43" s="184"/>
      <c r="G43" s="217"/>
      <c r="H43" s="369"/>
      <c r="I43" s="370"/>
      <c r="J43" s="383">
        <f>H43+F43+'spł poż'!F43</f>
        <v>0</v>
      </c>
      <c r="K43" s="383">
        <f>I43+G43+'spł poż'!G43</f>
        <v>0</v>
      </c>
    </row>
    <row r="44" spans="1:11" ht="13.5" thickBot="1">
      <c r="A44" s="377" t="s">
        <v>47</v>
      </c>
      <c r="B44" s="378">
        <v>90</v>
      </c>
      <c r="C44" s="188">
        <f>C43-D43</f>
        <v>6500000</v>
      </c>
      <c r="D44" s="188"/>
      <c r="E44" s="189">
        <f t="shared" si="2"/>
        <v>113750.00000000001</v>
      </c>
      <c r="F44" s="189">
        <f>SUM(D41:D44)</f>
        <v>1200000</v>
      </c>
      <c r="G44" s="218">
        <f>SUM(E41:E44)</f>
        <v>507500.00000000006</v>
      </c>
      <c r="H44" s="396"/>
      <c r="I44" s="397"/>
      <c r="J44" s="381">
        <f>H44+F44+'spł poż'!F44</f>
        <v>1623949</v>
      </c>
      <c r="K44" s="381">
        <f>I44+G44+'spł poż'!G44</f>
        <v>526257.3225</v>
      </c>
    </row>
    <row r="45" spans="1:11" ht="12.75">
      <c r="A45" s="372" t="s">
        <v>382</v>
      </c>
      <c r="B45" s="373">
        <v>90</v>
      </c>
      <c r="C45" s="178">
        <f>C44-D44</f>
        <v>6500000</v>
      </c>
      <c r="D45" s="178">
        <v>3500000</v>
      </c>
      <c r="E45" s="179">
        <f t="shared" si="2"/>
        <v>113750.00000000001</v>
      </c>
      <c r="F45" s="179"/>
      <c r="G45" s="216"/>
      <c r="H45" s="369"/>
      <c r="I45" s="370"/>
      <c r="J45" s="382">
        <f>H45+F45+'spł poż'!F45</f>
        <v>2100000</v>
      </c>
      <c r="K45" s="382">
        <f>I45+G45+'spł poż'!G45</f>
        <v>0</v>
      </c>
    </row>
    <row r="46" spans="1:11" ht="12.75">
      <c r="A46" s="374" t="s">
        <v>383</v>
      </c>
      <c r="B46" s="375">
        <v>90</v>
      </c>
      <c r="C46" s="183">
        <f>C45-D45</f>
        <v>3000000</v>
      </c>
      <c r="D46" s="183"/>
      <c r="E46" s="184">
        <f t="shared" si="2"/>
        <v>52500</v>
      </c>
      <c r="F46" s="184"/>
      <c r="G46" s="217"/>
      <c r="H46" s="369"/>
      <c r="I46" s="370"/>
      <c r="J46" s="383">
        <f>H46+F46+'spł poż'!F46</f>
        <v>0</v>
      </c>
      <c r="K46" s="383">
        <f>I46+G46+'spł poż'!G46</f>
        <v>0</v>
      </c>
    </row>
    <row r="47" spans="1:11" ht="12.75">
      <c r="A47" s="374" t="s">
        <v>384</v>
      </c>
      <c r="B47" s="375">
        <v>90</v>
      </c>
      <c r="C47" s="183">
        <f>C46-D46</f>
        <v>3000000</v>
      </c>
      <c r="D47" s="183">
        <v>3000000</v>
      </c>
      <c r="E47" s="184">
        <f t="shared" si="2"/>
        <v>52500</v>
      </c>
      <c r="F47" s="184"/>
      <c r="G47" s="217"/>
      <c r="H47" s="369"/>
      <c r="I47" s="370"/>
      <c r="J47" s="383">
        <f>H47+F47+'spł poż'!F47</f>
        <v>0</v>
      </c>
      <c r="K47" s="383">
        <f>I47+G47+'spł poż'!G47</f>
        <v>0</v>
      </c>
    </row>
    <row r="48" spans="1:11" ht="13.5" thickBot="1">
      <c r="A48" s="377" t="s">
        <v>385</v>
      </c>
      <c r="B48" s="378">
        <v>90</v>
      </c>
      <c r="C48" s="188">
        <f>C47-D47</f>
        <v>0</v>
      </c>
      <c r="D48" s="188"/>
      <c r="E48" s="189">
        <f t="shared" si="2"/>
        <v>0</v>
      </c>
      <c r="F48" s="189">
        <f>SUM(D45:D48)</f>
        <v>6500000</v>
      </c>
      <c r="G48" s="218">
        <f>SUM(E45:E48)</f>
        <v>218750</v>
      </c>
      <c r="H48" s="396"/>
      <c r="I48" s="397"/>
      <c r="J48" s="381">
        <f>H48+F48+'spł poż'!F48</f>
        <v>6500000</v>
      </c>
      <c r="K48" s="381">
        <f>I48+G48+'spł poż'!G48</f>
        <v>218750</v>
      </c>
    </row>
    <row r="49" spans="1:11" ht="12.75">
      <c r="A49" s="398"/>
      <c r="B49" s="399"/>
      <c r="C49" s="398"/>
      <c r="D49" s="400">
        <f>SUM(D9:D48)</f>
        <v>10000000</v>
      </c>
      <c r="F49" s="400">
        <f>SUM(F9:F48)</f>
        <v>10000000</v>
      </c>
      <c r="G49" s="400">
        <f>SUM(G9:G48)</f>
        <v>5972750.000000001</v>
      </c>
      <c r="H49" s="401"/>
      <c r="I49" s="401"/>
      <c r="J49" s="400">
        <f>SUM(J9:J48)</f>
        <v>28611022</v>
      </c>
      <c r="K49" s="402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99" t="s">
        <v>213</v>
      </c>
      <c r="B1" s="599"/>
      <c r="C1" s="599"/>
      <c r="D1" s="599"/>
      <c r="E1" s="599"/>
      <c r="F1" s="599"/>
      <c r="G1" s="599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74">
        <f>B4*C4*5.5%/360</f>
        <v>28875</v>
      </c>
      <c r="F4" s="174">
        <v>0</v>
      </c>
      <c r="G4" s="174">
        <f>E3+E4</f>
        <v>28875</v>
      </c>
    </row>
    <row r="5" spans="1:7" s="2" customFormat="1" ht="15">
      <c r="A5" s="175" t="s">
        <v>8</v>
      </c>
      <c r="B5" s="176">
        <v>90</v>
      </c>
      <c r="C5" s="177">
        <f aca="true" t="shared" si="0" ref="C5:C39">C4-D4</f>
        <v>2100000</v>
      </c>
      <c r="D5" s="178">
        <v>12500</v>
      </c>
      <c r="E5" s="179">
        <f>B5*C5*0.07/360</f>
        <v>36750.00000000001</v>
      </c>
      <c r="F5" s="179"/>
      <c r="G5" s="179"/>
    </row>
    <row r="6" spans="1:8" ht="15">
      <c r="A6" s="180" t="s">
        <v>9</v>
      </c>
      <c r="B6" s="181">
        <v>90</v>
      </c>
      <c r="C6" s="182">
        <f t="shared" si="0"/>
        <v>2087500</v>
      </c>
      <c r="D6" s="183">
        <v>12500</v>
      </c>
      <c r="E6" s="184">
        <f>B6*C6*0.07/360</f>
        <v>36531.25000000001</v>
      </c>
      <c r="F6" s="184"/>
      <c r="G6" s="184"/>
      <c r="H6" s="14">
        <f>SUM(D5:D8)</f>
        <v>50000</v>
      </c>
    </row>
    <row r="7" spans="1:7" ht="15">
      <c r="A7" s="180" t="s">
        <v>10</v>
      </c>
      <c r="B7" s="181">
        <v>90</v>
      </c>
      <c r="C7" s="182">
        <f t="shared" si="0"/>
        <v>2075000</v>
      </c>
      <c r="D7" s="183">
        <f aca="true" t="shared" si="1" ref="D7:D25">D6</f>
        <v>12500</v>
      </c>
      <c r="E7" s="184">
        <f aca="true" t="shared" si="2" ref="E7:E40">B7*C7*0.07/360</f>
        <v>36312.50000000001</v>
      </c>
      <c r="F7" s="184"/>
      <c r="G7" s="184"/>
    </row>
    <row r="8" spans="1:7" ht="15.75" thickBot="1">
      <c r="A8" s="185" t="s">
        <v>11</v>
      </c>
      <c r="B8" s="186">
        <v>90</v>
      </c>
      <c r="C8" s="187">
        <f t="shared" si="0"/>
        <v>2062500</v>
      </c>
      <c r="D8" s="188">
        <f t="shared" si="1"/>
        <v>12500</v>
      </c>
      <c r="E8" s="189">
        <f>B8*C8*0.07/360</f>
        <v>36093.75000000001</v>
      </c>
      <c r="F8" s="189">
        <v>50000</v>
      </c>
      <c r="G8" s="189">
        <v>173688</v>
      </c>
    </row>
    <row r="9" spans="1:7" ht="15">
      <c r="A9" s="175" t="s">
        <v>12</v>
      </c>
      <c r="B9" s="176">
        <v>90</v>
      </c>
      <c r="C9" s="177">
        <f t="shared" si="0"/>
        <v>2050000</v>
      </c>
      <c r="D9" s="178">
        <f t="shared" si="1"/>
        <v>12500</v>
      </c>
      <c r="E9" s="179">
        <f t="shared" si="2"/>
        <v>35875.00000000001</v>
      </c>
      <c r="F9" s="179"/>
      <c r="G9" s="179"/>
    </row>
    <row r="10" spans="1:8" ht="15">
      <c r="A10" s="180" t="s">
        <v>13</v>
      </c>
      <c r="B10" s="181">
        <v>90</v>
      </c>
      <c r="C10" s="182">
        <f t="shared" si="0"/>
        <v>2037500</v>
      </c>
      <c r="D10" s="183">
        <f t="shared" si="1"/>
        <v>12500</v>
      </c>
      <c r="E10" s="184">
        <f t="shared" si="2"/>
        <v>35656.25000000001</v>
      </c>
      <c r="F10" s="184"/>
      <c r="G10" s="184"/>
      <c r="H10" s="14">
        <v>50000</v>
      </c>
    </row>
    <row r="11" spans="1:7" ht="15">
      <c r="A11" s="180" t="s">
        <v>14</v>
      </c>
      <c r="B11" s="181">
        <v>90</v>
      </c>
      <c r="C11" s="182">
        <f t="shared" si="0"/>
        <v>2025000</v>
      </c>
      <c r="D11" s="183">
        <f t="shared" si="1"/>
        <v>12500</v>
      </c>
      <c r="E11" s="184">
        <f t="shared" si="2"/>
        <v>35437.50000000001</v>
      </c>
      <c r="F11" s="184"/>
      <c r="G11" s="184"/>
    </row>
    <row r="12" spans="1:7" ht="15.75" thickBot="1">
      <c r="A12" s="185" t="s">
        <v>15</v>
      </c>
      <c r="B12" s="186">
        <v>90</v>
      </c>
      <c r="C12" s="187">
        <f t="shared" si="0"/>
        <v>2012500</v>
      </c>
      <c r="D12" s="188">
        <f t="shared" si="1"/>
        <v>12500</v>
      </c>
      <c r="E12" s="189">
        <f t="shared" si="2"/>
        <v>35218.75000000001</v>
      </c>
      <c r="F12" s="189">
        <f>SUM(D9:D12)</f>
        <v>50000</v>
      </c>
      <c r="G12" s="189">
        <v>170188</v>
      </c>
    </row>
    <row r="13" spans="1:7" ht="15">
      <c r="A13" s="175" t="s">
        <v>16</v>
      </c>
      <c r="B13" s="176">
        <v>90</v>
      </c>
      <c r="C13" s="177">
        <f t="shared" si="0"/>
        <v>2000000</v>
      </c>
      <c r="D13" s="178">
        <f t="shared" si="1"/>
        <v>12500</v>
      </c>
      <c r="E13" s="179">
        <f t="shared" si="2"/>
        <v>35000.00000000001</v>
      </c>
      <c r="F13" s="179"/>
      <c r="G13" s="179"/>
    </row>
    <row r="14" spans="1:8" ht="15">
      <c r="A14" s="180" t="s">
        <v>17</v>
      </c>
      <c r="B14" s="181">
        <v>90</v>
      </c>
      <c r="C14" s="182">
        <f t="shared" si="0"/>
        <v>1987500</v>
      </c>
      <c r="D14" s="183">
        <f t="shared" si="1"/>
        <v>12500</v>
      </c>
      <c r="E14" s="184">
        <f t="shared" si="2"/>
        <v>34781.25000000001</v>
      </c>
      <c r="F14" s="184"/>
      <c r="G14" s="184"/>
      <c r="H14" s="14">
        <v>50000</v>
      </c>
    </row>
    <row r="15" spans="1:7" ht="15">
      <c r="A15" s="180" t="s">
        <v>18</v>
      </c>
      <c r="B15" s="181">
        <v>90</v>
      </c>
      <c r="C15" s="182">
        <f t="shared" si="0"/>
        <v>1975000</v>
      </c>
      <c r="D15" s="183">
        <f t="shared" si="1"/>
        <v>12500</v>
      </c>
      <c r="E15" s="184">
        <f t="shared" si="2"/>
        <v>34562.50000000001</v>
      </c>
      <c r="F15" s="184"/>
      <c r="G15" s="184"/>
    </row>
    <row r="16" spans="1:7" ht="15.75" thickBot="1">
      <c r="A16" s="185" t="s">
        <v>19</v>
      </c>
      <c r="B16" s="186">
        <v>90</v>
      </c>
      <c r="C16" s="187">
        <f t="shared" si="0"/>
        <v>1962500</v>
      </c>
      <c r="D16" s="188">
        <f t="shared" si="1"/>
        <v>12500</v>
      </c>
      <c r="E16" s="189">
        <f>B16*C16*0.07/360</f>
        <v>34343.75000000001</v>
      </c>
      <c r="F16" s="189">
        <f>SUM(D13:D16)</f>
        <v>50000</v>
      </c>
      <c r="G16" s="189">
        <v>166688</v>
      </c>
    </row>
    <row r="17" spans="1:7" ht="15">
      <c r="A17" s="175" t="s">
        <v>20</v>
      </c>
      <c r="B17" s="176">
        <v>90</v>
      </c>
      <c r="C17" s="177">
        <f t="shared" si="0"/>
        <v>1950000</v>
      </c>
      <c r="D17" s="178">
        <f t="shared" si="1"/>
        <v>12500</v>
      </c>
      <c r="E17" s="179">
        <f t="shared" si="2"/>
        <v>34125.00000000001</v>
      </c>
      <c r="F17" s="179"/>
      <c r="G17" s="179"/>
    </row>
    <row r="18" spans="1:8" ht="15">
      <c r="A18" s="180" t="s">
        <v>21</v>
      </c>
      <c r="B18" s="181">
        <v>90</v>
      </c>
      <c r="C18" s="182">
        <f t="shared" si="0"/>
        <v>1937500</v>
      </c>
      <c r="D18" s="183">
        <f t="shared" si="1"/>
        <v>12500</v>
      </c>
      <c r="E18" s="184">
        <f t="shared" si="2"/>
        <v>33906.25000000001</v>
      </c>
      <c r="F18" s="184"/>
      <c r="G18" s="184"/>
      <c r="H18" s="14">
        <v>50000</v>
      </c>
    </row>
    <row r="19" spans="1:8" s="17" customFormat="1" ht="15">
      <c r="A19" s="190" t="s">
        <v>22</v>
      </c>
      <c r="B19" s="191">
        <v>90</v>
      </c>
      <c r="C19" s="182">
        <f t="shared" si="0"/>
        <v>1925000</v>
      </c>
      <c r="D19" s="183">
        <f t="shared" si="1"/>
        <v>12500</v>
      </c>
      <c r="E19" s="184">
        <f t="shared" si="2"/>
        <v>33687.50000000001</v>
      </c>
      <c r="F19" s="192"/>
      <c r="G19" s="192"/>
      <c r="H19" s="16"/>
    </row>
    <row r="20" spans="1:7" s="17" customFormat="1" ht="15.75" thickBot="1">
      <c r="A20" s="196" t="s">
        <v>23</v>
      </c>
      <c r="B20" s="197">
        <v>90</v>
      </c>
      <c r="C20" s="198">
        <f t="shared" si="0"/>
        <v>1912500</v>
      </c>
      <c r="D20" s="199">
        <f t="shared" si="1"/>
        <v>12500</v>
      </c>
      <c r="E20" s="200">
        <f t="shared" si="2"/>
        <v>33468.75000000001</v>
      </c>
      <c r="F20" s="201">
        <f>SUM(D17:D20)</f>
        <v>50000</v>
      </c>
      <c r="G20" s="201">
        <v>163188</v>
      </c>
    </row>
    <row r="21" spans="1:7" ht="15">
      <c r="A21" s="175" t="s">
        <v>24</v>
      </c>
      <c r="B21" s="176">
        <v>90</v>
      </c>
      <c r="C21" s="177">
        <f t="shared" si="0"/>
        <v>1900000</v>
      </c>
      <c r="D21" s="178">
        <f t="shared" si="1"/>
        <v>12500</v>
      </c>
      <c r="E21" s="179">
        <f t="shared" si="2"/>
        <v>33250.00000000001</v>
      </c>
      <c r="F21" s="179"/>
      <c r="G21" s="179"/>
    </row>
    <row r="22" spans="1:8" ht="15">
      <c r="A22" s="180" t="s">
        <v>25</v>
      </c>
      <c r="B22" s="181">
        <v>90</v>
      </c>
      <c r="C22" s="182">
        <f t="shared" si="0"/>
        <v>1887500</v>
      </c>
      <c r="D22" s="183">
        <f t="shared" si="1"/>
        <v>12500</v>
      </c>
      <c r="E22" s="184">
        <f t="shared" si="2"/>
        <v>33031.25000000001</v>
      </c>
      <c r="F22" s="184"/>
      <c r="G22" s="184"/>
      <c r="H22" s="14">
        <v>50000</v>
      </c>
    </row>
    <row r="23" spans="1:7" ht="15">
      <c r="A23" s="180" t="s">
        <v>26</v>
      </c>
      <c r="B23" s="181">
        <v>90</v>
      </c>
      <c r="C23" s="182">
        <f t="shared" si="0"/>
        <v>1875000</v>
      </c>
      <c r="D23" s="183">
        <f t="shared" si="1"/>
        <v>12500</v>
      </c>
      <c r="E23" s="184">
        <f t="shared" si="2"/>
        <v>32812.50000000001</v>
      </c>
      <c r="F23" s="184"/>
      <c r="G23" s="184"/>
    </row>
    <row r="24" spans="1:7" ht="15.75" thickBot="1">
      <c r="A24" s="185" t="s">
        <v>27</v>
      </c>
      <c r="B24" s="186">
        <v>90</v>
      </c>
      <c r="C24" s="187">
        <f t="shared" si="0"/>
        <v>1862500</v>
      </c>
      <c r="D24" s="188">
        <f t="shared" si="1"/>
        <v>12500</v>
      </c>
      <c r="E24" s="189">
        <f t="shared" si="2"/>
        <v>32593.750000000004</v>
      </c>
      <c r="F24" s="189">
        <f>SUM(D21:D24)</f>
        <v>50000</v>
      </c>
      <c r="G24" s="189">
        <v>159688</v>
      </c>
    </row>
    <row r="25" spans="1:7" s="17" customFormat="1" ht="15">
      <c r="A25" s="202" t="s">
        <v>28</v>
      </c>
      <c r="B25" s="203">
        <v>90</v>
      </c>
      <c r="C25" s="204">
        <f t="shared" si="0"/>
        <v>1850000</v>
      </c>
      <c r="D25" s="178">
        <f t="shared" si="1"/>
        <v>12500</v>
      </c>
      <c r="E25" s="179">
        <f t="shared" si="2"/>
        <v>32375.000000000004</v>
      </c>
      <c r="F25" s="205"/>
      <c r="G25" s="205"/>
    </row>
    <row r="26" spans="1:8" s="17" customFormat="1" ht="15">
      <c r="A26" s="190" t="s">
        <v>29</v>
      </c>
      <c r="B26" s="191">
        <v>90</v>
      </c>
      <c r="C26" s="206">
        <f t="shared" si="0"/>
        <v>1837500</v>
      </c>
      <c r="D26" s="183"/>
      <c r="E26" s="184">
        <f t="shared" si="2"/>
        <v>32156.250000000004</v>
      </c>
      <c r="F26" s="192"/>
      <c r="G26" s="192"/>
      <c r="H26" s="18">
        <f>SUM(D25:D28)</f>
        <v>25000</v>
      </c>
    </row>
    <row r="27" spans="1:7" s="17" customFormat="1" ht="15">
      <c r="A27" s="190" t="s">
        <v>30</v>
      </c>
      <c r="B27" s="191">
        <v>90</v>
      </c>
      <c r="C27" s="206">
        <f t="shared" si="0"/>
        <v>1837500</v>
      </c>
      <c r="D27" s="183">
        <v>12500</v>
      </c>
      <c r="E27" s="184">
        <f t="shared" si="2"/>
        <v>32156.250000000004</v>
      </c>
      <c r="F27" s="192"/>
      <c r="G27" s="192"/>
    </row>
    <row r="28" spans="1:7" s="17" customFormat="1" ht="15.75" thickBot="1">
      <c r="A28" s="193" t="s">
        <v>31</v>
      </c>
      <c r="B28" s="194">
        <v>90</v>
      </c>
      <c r="C28" s="207">
        <f t="shared" si="0"/>
        <v>1825000</v>
      </c>
      <c r="D28" s="188"/>
      <c r="E28" s="189">
        <f t="shared" si="2"/>
        <v>31937.500000000004</v>
      </c>
      <c r="F28" s="195">
        <f>SUM(D25:D28)</f>
        <v>25000</v>
      </c>
      <c r="G28" s="195">
        <f>SUM(E25:E28)</f>
        <v>128625.00000000001</v>
      </c>
    </row>
    <row r="29" spans="1:8" ht="15">
      <c r="A29" s="175" t="s">
        <v>32</v>
      </c>
      <c r="B29" s="176">
        <v>90</v>
      </c>
      <c r="C29" s="177">
        <f t="shared" si="0"/>
        <v>1825000</v>
      </c>
      <c r="D29" s="178">
        <v>12500</v>
      </c>
      <c r="E29" s="179">
        <f t="shared" si="2"/>
        <v>31937.500000000004</v>
      </c>
      <c r="F29" s="179"/>
      <c r="G29" s="179"/>
      <c r="H29" s="173">
        <f>C29/12</f>
        <v>152083.33333333334</v>
      </c>
    </row>
    <row r="30" spans="1:8" ht="15">
      <c r="A30" s="180" t="s">
        <v>33</v>
      </c>
      <c r="B30" s="181">
        <v>90</v>
      </c>
      <c r="C30" s="182">
        <f t="shared" si="0"/>
        <v>1812500</v>
      </c>
      <c r="D30" s="183">
        <v>12500</v>
      </c>
      <c r="E30" s="184">
        <f t="shared" si="2"/>
        <v>31718.750000000004</v>
      </c>
      <c r="F30" s="184"/>
      <c r="G30" s="184"/>
      <c r="H30" s="14">
        <f>SUM(D29:D32)</f>
        <v>50528</v>
      </c>
    </row>
    <row r="31" spans="1:7" ht="15">
      <c r="A31" s="180" t="s">
        <v>34</v>
      </c>
      <c r="B31" s="181">
        <v>90</v>
      </c>
      <c r="C31" s="182">
        <f t="shared" si="0"/>
        <v>1800000</v>
      </c>
      <c r="D31" s="183">
        <v>13028</v>
      </c>
      <c r="E31" s="184">
        <f t="shared" si="2"/>
        <v>31500.000000000004</v>
      </c>
      <c r="F31" s="184"/>
      <c r="G31" s="184"/>
    </row>
    <row r="32" spans="1:7" ht="15.75" thickBot="1">
      <c r="A32" s="185" t="s">
        <v>35</v>
      </c>
      <c r="B32" s="186">
        <v>90</v>
      </c>
      <c r="C32" s="187">
        <f t="shared" si="0"/>
        <v>1786972</v>
      </c>
      <c r="D32" s="188">
        <v>12500</v>
      </c>
      <c r="E32" s="189">
        <f t="shared" si="2"/>
        <v>31272.010000000006</v>
      </c>
      <c r="F32" s="189">
        <f>SUM(D29:D32)</f>
        <v>50528</v>
      </c>
      <c r="G32" s="189">
        <f>SUM(E29:E32)</f>
        <v>126428.26000000002</v>
      </c>
    </row>
    <row r="33" spans="1:7" s="17" customFormat="1" ht="15">
      <c r="A33" s="202" t="s">
        <v>36</v>
      </c>
      <c r="B33" s="203">
        <v>90</v>
      </c>
      <c r="C33" s="204">
        <f t="shared" si="0"/>
        <v>1774472</v>
      </c>
      <c r="D33" s="208">
        <v>150000</v>
      </c>
      <c r="E33" s="205">
        <f t="shared" si="2"/>
        <v>31053.260000000006</v>
      </c>
      <c r="F33" s="205"/>
      <c r="G33" s="205"/>
    </row>
    <row r="34" spans="1:8" s="17" customFormat="1" ht="15">
      <c r="A34" s="190" t="s">
        <v>37</v>
      </c>
      <c r="B34" s="191">
        <v>90</v>
      </c>
      <c r="C34" s="206">
        <f t="shared" si="0"/>
        <v>1624472</v>
      </c>
      <c r="D34" s="209">
        <f>D33</f>
        <v>150000</v>
      </c>
      <c r="E34" s="192">
        <f t="shared" si="2"/>
        <v>28428.260000000006</v>
      </c>
      <c r="F34" s="192"/>
      <c r="G34" s="192"/>
      <c r="H34" s="18">
        <f>SUM(D33:D36)</f>
        <v>750523</v>
      </c>
    </row>
    <row r="35" spans="1:7" s="17" customFormat="1" ht="15">
      <c r="A35" s="190" t="s">
        <v>38</v>
      </c>
      <c r="B35" s="191">
        <v>90</v>
      </c>
      <c r="C35" s="206">
        <f t="shared" si="0"/>
        <v>1474472</v>
      </c>
      <c r="D35" s="209">
        <v>225000</v>
      </c>
      <c r="E35" s="192">
        <f t="shared" si="2"/>
        <v>25803.260000000006</v>
      </c>
      <c r="F35" s="192"/>
      <c r="G35" s="192"/>
    </row>
    <row r="36" spans="1:7" s="17" customFormat="1" ht="15.75" thickBot="1">
      <c r="A36" s="196" t="s">
        <v>39</v>
      </c>
      <c r="B36" s="197">
        <v>90</v>
      </c>
      <c r="C36" s="211">
        <f t="shared" si="0"/>
        <v>1249472</v>
      </c>
      <c r="D36" s="212">
        <v>225523</v>
      </c>
      <c r="E36" s="201">
        <f t="shared" si="2"/>
        <v>21865.760000000002</v>
      </c>
      <c r="F36" s="201">
        <f>SUM(D33:D36)</f>
        <v>750523</v>
      </c>
      <c r="G36" s="201">
        <f>SUM(E33:E36)</f>
        <v>107150.54000000001</v>
      </c>
    </row>
    <row r="37" spans="1:7" ht="15">
      <c r="A37" s="175" t="s">
        <v>40</v>
      </c>
      <c r="B37" s="176">
        <v>90</v>
      </c>
      <c r="C37" s="177">
        <f t="shared" si="0"/>
        <v>1023949</v>
      </c>
      <c r="D37" s="208">
        <v>150000</v>
      </c>
      <c r="E37" s="179">
        <f>B37*C37*0.07/360</f>
        <v>17919.107500000002</v>
      </c>
      <c r="F37" s="179"/>
      <c r="G37" s="179"/>
    </row>
    <row r="38" spans="1:8" ht="15">
      <c r="A38" s="180" t="s">
        <v>41</v>
      </c>
      <c r="B38" s="181">
        <v>90</v>
      </c>
      <c r="C38" s="182">
        <f t="shared" si="0"/>
        <v>873949</v>
      </c>
      <c r="D38" s="209">
        <v>150000</v>
      </c>
      <c r="E38" s="184">
        <f t="shared" si="2"/>
        <v>15294.1075</v>
      </c>
      <c r="F38" s="184"/>
      <c r="G38" s="184"/>
      <c r="H38" s="14">
        <f>SUM(D37:D40)</f>
        <v>600000</v>
      </c>
    </row>
    <row r="39" spans="1:7" ht="15">
      <c r="A39" s="180" t="s">
        <v>42</v>
      </c>
      <c r="B39" s="181">
        <v>90</v>
      </c>
      <c r="C39" s="182">
        <f t="shared" si="0"/>
        <v>723949</v>
      </c>
      <c r="D39" s="209">
        <v>150000</v>
      </c>
      <c r="E39" s="184">
        <f t="shared" si="2"/>
        <v>12669.1075</v>
      </c>
      <c r="F39" s="184"/>
      <c r="G39" s="184"/>
    </row>
    <row r="40" spans="1:7" ht="15.75" thickBot="1">
      <c r="A40" s="185" t="s">
        <v>43</v>
      </c>
      <c r="B40" s="186">
        <v>90</v>
      </c>
      <c r="C40" s="187">
        <f>C39-D39</f>
        <v>573949</v>
      </c>
      <c r="D40" s="210">
        <f>D39</f>
        <v>150000</v>
      </c>
      <c r="E40" s="189">
        <f t="shared" si="2"/>
        <v>10044.1075</v>
      </c>
      <c r="F40" s="189">
        <f>SUM(D37:D40)</f>
        <v>600000</v>
      </c>
      <c r="G40" s="189">
        <f>SUM(E37:E40)</f>
        <v>55926.43</v>
      </c>
    </row>
    <row r="41" spans="1:7" ht="15">
      <c r="A41" s="175" t="s">
        <v>44</v>
      </c>
      <c r="B41" s="176">
        <v>90</v>
      </c>
      <c r="C41" s="177">
        <f>C40-D40</f>
        <v>423949</v>
      </c>
      <c r="D41" s="208">
        <v>100000</v>
      </c>
      <c r="E41" s="179">
        <f>B41*C41*0.07/360</f>
        <v>7419.1075</v>
      </c>
      <c r="F41" s="179"/>
      <c r="G41" s="179"/>
    </row>
    <row r="42" spans="1:8" ht="15">
      <c r="A42" s="180" t="s">
        <v>45</v>
      </c>
      <c r="B42" s="181">
        <v>90</v>
      </c>
      <c r="C42" s="182">
        <f>C41-D41</f>
        <v>323949</v>
      </c>
      <c r="D42" s="209">
        <v>100000</v>
      </c>
      <c r="E42" s="184">
        <f>B42*C42*0.07/360</f>
        <v>5669.1075</v>
      </c>
      <c r="F42" s="184"/>
      <c r="G42" s="184"/>
      <c r="H42" s="14">
        <f>SUM(D41:D44)</f>
        <v>423949</v>
      </c>
    </row>
    <row r="43" spans="1:7" ht="15">
      <c r="A43" s="180" t="s">
        <v>46</v>
      </c>
      <c r="B43" s="181">
        <v>90</v>
      </c>
      <c r="C43" s="182">
        <f>C42-D42</f>
        <v>223949</v>
      </c>
      <c r="D43" s="209">
        <v>123949</v>
      </c>
      <c r="E43" s="184">
        <f>B43*C43*0.07/360</f>
        <v>3919.1075000000005</v>
      </c>
      <c r="F43" s="184"/>
      <c r="G43" s="184"/>
    </row>
    <row r="44" spans="1:7" ht="15.75" thickBot="1">
      <c r="A44" s="185" t="s">
        <v>47</v>
      </c>
      <c r="B44" s="186">
        <v>90</v>
      </c>
      <c r="C44" s="187">
        <f>C43-D43</f>
        <v>100000</v>
      </c>
      <c r="D44" s="210">
        <v>100000</v>
      </c>
      <c r="E44" s="189">
        <f>B44*C44*0.07/360</f>
        <v>1750.0000000000002</v>
      </c>
      <c r="F44" s="189">
        <f>SUM(D41:D44)</f>
        <v>423949</v>
      </c>
      <c r="G44" s="189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3">
      <selection activeCell="K9" sqref="K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2" max="12" width="16.421875" style="0" customWidth="1"/>
    <col min="13" max="13" width="11.00390625" style="0" bestFit="1" customWidth="1"/>
  </cols>
  <sheetData>
    <row r="1" spans="1:11" ht="26.25" customHeight="1">
      <c r="A1" s="599" t="s">
        <v>214</v>
      </c>
      <c r="B1" s="599"/>
      <c r="C1" s="599"/>
      <c r="D1" s="599"/>
      <c r="E1" s="599"/>
      <c r="F1" s="599"/>
      <c r="G1" s="606"/>
      <c r="H1" s="602" t="s">
        <v>219</v>
      </c>
      <c r="I1" s="604" t="s">
        <v>218</v>
      </c>
      <c r="J1" s="600" t="s">
        <v>216</v>
      </c>
      <c r="K1" s="601"/>
    </row>
    <row r="2" spans="1:11" ht="24" customHeight="1" thickBot="1">
      <c r="A2" s="607"/>
      <c r="B2" s="607"/>
      <c r="C2" s="607"/>
      <c r="D2" s="607"/>
      <c r="E2" s="607"/>
      <c r="F2" s="607"/>
      <c r="G2" s="608"/>
      <c r="H2" s="603"/>
      <c r="I2" s="605"/>
      <c r="J2" s="233" t="s">
        <v>220</v>
      </c>
      <c r="K2" s="234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13" t="s">
        <v>5</v>
      </c>
      <c r="H3" s="223"/>
      <c r="I3" s="223"/>
      <c r="J3" s="235"/>
      <c r="K3" s="235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14"/>
      <c r="H4" s="224">
        <v>2000000</v>
      </c>
      <c r="I4" s="224">
        <v>1265000</v>
      </c>
      <c r="J4" s="230">
        <f>H4+F4</f>
        <v>2000000</v>
      </c>
      <c r="K4" s="230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74">
        <f>B5*C5*5.5%/360</f>
        <v>158125</v>
      </c>
      <c r="F5" s="174">
        <v>0</v>
      </c>
      <c r="G5" s="215">
        <f>E4+E5</f>
        <v>158125</v>
      </c>
      <c r="H5" s="223"/>
      <c r="I5" s="223"/>
      <c r="J5" s="235"/>
      <c r="K5" s="235"/>
    </row>
    <row r="6" spans="1:11" s="2" customFormat="1" ht="15">
      <c r="A6" s="175" t="s">
        <v>8</v>
      </c>
      <c r="B6" s="176">
        <v>90</v>
      </c>
      <c r="C6" s="177">
        <v>18400000</v>
      </c>
      <c r="D6" s="178"/>
      <c r="E6" s="179">
        <f>B6*C6*0.07/360</f>
        <v>322000.00000000006</v>
      </c>
      <c r="F6" s="179"/>
      <c r="G6" s="216"/>
      <c r="H6" s="225"/>
      <c r="I6" s="225"/>
      <c r="J6" s="236"/>
      <c r="K6" s="236"/>
    </row>
    <row r="7" spans="1:11" ht="15">
      <c r="A7" s="180" t="s">
        <v>9</v>
      </c>
      <c r="B7" s="181">
        <v>90</v>
      </c>
      <c r="C7" s="182">
        <f aca="true" t="shared" si="0" ref="C7:C40">C6-D6</f>
        <v>18400000</v>
      </c>
      <c r="D7" s="183"/>
      <c r="E7" s="184">
        <f>B7*C7*0.07/360</f>
        <v>322000.00000000006</v>
      </c>
      <c r="F7" s="184"/>
      <c r="G7" s="217"/>
      <c r="H7" s="224">
        <f>SUM(D6:D9)</f>
        <v>0</v>
      </c>
      <c r="I7" s="223"/>
      <c r="J7" s="235"/>
      <c r="K7" s="235"/>
    </row>
    <row r="8" spans="1:11" ht="15">
      <c r="A8" s="180" t="s">
        <v>10</v>
      </c>
      <c r="B8" s="181">
        <v>90</v>
      </c>
      <c r="C8" s="182">
        <f t="shared" si="0"/>
        <v>18400000</v>
      </c>
      <c r="D8" s="183"/>
      <c r="E8" s="184">
        <f aca="true" t="shared" si="1" ref="E8:E41">B8*C8*0.07/360</f>
        <v>322000.00000000006</v>
      </c>
      <c r="F8" s="184"/>
      <c r="G8" s="217"/>
      <c r="H8" s="223"/>
      <c r="I8" s="223"/>
      <c r="J8" s="235"/>
      <c r="K8" s="235"/>
    </row>
    <row r="9" spans="1:13" ht="15.75" thickBot="1">
      <c r="A9" s="185" t="s">
        <v>11</v>
      </c>
      <c r="B9" s="186">
        <v>90</v>
      </c>
      <c r="C9" s="187">
        <v>32400000</v>
      </c>
      <c r="D9" s="188"/>
      <c r="E9" s="189">
        <f t="shared" si="1"/>
        <v>567000.0000000001</v>
      </c>
      <c r="F9" s="189">
        <f>D7+D8+D9+D6</f>
        <v>0</v>
      </c>
      <c r="G9" s="218">
        <f>SUM(E6:E9)</f>
        <v>1533000.0000000005</v>
      </c>
      <c r="H9" s="224">
        <v>3000000</v>
      </c>
      <c r="I9" s="224">
        <v>1155000</v>
      </c>
      <c r="J9" s="230">
        <f>H9+F9</f>
        <v>3000000</v>
      </c>
      <c r="K9" s="230">
        <f>I9+G9</f>
        <v>2688000.0000000005</v>
      </c>
      <c r="L9" s="14">
        <v>14000000</v>
      </c>
      <c r="M9" t="s">
        <v>438</v>
      </c>
    </row>
    <row r="10" spans="1:11" ht="15">
      <c r="A10" s="175" t="s">
        <v>12</v>
      </c>
      <c r="B10" s="176">
        <v>90</v>
      </c>
      <c r="C10" s="177">
        <f t="shared" si="0"/>
        <v>32400000</v>
      </c>
      <c r="D10" s="178"/>
      <c r="E10" s="179">
        <f t="shared" si="1"/>
        <v>567000.0000000001</v>
      </c>
      <c r="F10" s="179"/>
      <c r="G10" s="216"/>
      <c r="H10" s="223"/>
      <c r="I10" s="223"/>
      <c r="J10" s="230">
        <f aca="true" t="shared" si="2" ref="J10:J44">H10+F10</f>
        <v>0</v>
      </c>
      <c r="K10" s="230">
        <f aca="true" t="shared" si="3" ref="K10:K45">I10+G10</f>
        <v>0</v>
      </c>
    </row>
    <row r="11" spans="1:11" ht="15">
      <c r="A11" s="180" t="s">
        <v>13</v>
      </c>
      <c r="B11" s="181">
        <v>90</v>
      </c>
      <c r="C11" s="182">
        <f t="shared" si="0"/>
        <v>32400000</v>
      </c>
      <c r="D11" s="183"/>
      <c r="E11" s="184">
        <f t="shared" si="1"/>
        <v>567000.0000000001</v>
      </c>
      <c r="F11" s="184"/>
      <c r="G11" s="217"/>
      <c r="H11" s="224"/>
      <c r="I11" s="223"/>
      <c r="J11" s="230">
        <f t="shared" si="2"/>
        <v>0</v>
      </c>
      <c r="K11" s="230">
        <f t="shared" si="3"/>
        <v>0</v>
      </c>
    </row>
    <row r="12" spans="1:11" ht="15">
      <c r="A12" s="180" t="s">
        <v>14</v>
      </c>
      <c r="B12" s="181">
        <v>90</v>
      </c>
      <c r="C12" s="182">
        <f t="shared" si="0"/>
        <v>32400000</v>
      </c>
      <c r="D12" s="183"/>
      <c r="E12" s="184">
        <f t="shared" si="1"/>
        <v>567000.0000000001</v>
      </c>
      <c r="F12" s="184"/>
      <c r="G12" s="217"/>
      <c r="H12" s="223"/>
      <c r="I12" s="223"/>
      <c r="J12" s="230">
        <f t="shared" si="2"/>
        <v>0</v>
      </c>
      <c r="K12" s="230">
        <f t="shared" si="3"/>
        <v>0</v>
      </c>
    </row>
    <row r="13" spans="1:11" ht="15.75" thickBot="1">
      <c r="A13" s="185" t="s">
        <v>15</v>
      </c>
      <c r="B13" s="186">
        <v>90</v>
      </c>
      <c r="C13" s="187">
        <f t="shared" si="0"/>
        <v>32400000</v>
      </c>
      <c r="D13" s="188"/>
      <c r="E13" s="189">
        <f t="shared" si="1"/>
        <v>567000.0000000001</v>
      </c>
      <c r="F13" s="189">
        <f>SUM(D10:D13)</f>
        <v>0</v>
      </c>
      <c r="G13" s="218">
        <f>SUM(E10:E13)</f>
        <v>2268000.0000000005</v>
      </c>
      <c r="H13" s="224">
        <v>3000000</v>
      </c>
      <c r="I13" s="224">
        <v>990000</v>
      </c>
      <c r="J13" s="230">
        <f>H13+F13</f>
        <v>3000000</v>
      </c>
      <c r="K13" s="230">
        <f t="shared" si="3"/>
        <v>3258000.0000000005</v>
      </c>
    </row>
    <row r="14" spans="1:11" ht="15">
      <c r="A14" s="175" t="s">
        <v>16</v>
      </c>
      <c r="B14" s="176">
        <v>90</v>
      </c>
      <c r="C14" s="177">
        <f t="shared" si="0"/>
        <v>32400000</v>
      </c>
      <c r="D14" s="178"/>
      <c r="E14" s="179">
        <f t="shared" si="1"/>
        <v>567000.0000000001</v>
      </c>
      <c r="F14" s="179"/>
      <c r="G14" s="216"/>
      <c r="H14" s="223"/>
      <c r="I14" s="224"/>
      <c r="J14" s="230">
        <f t="shared" si="2"/>
        <v>0</v>
      </c>
      <c r="K14" s="230">
        <f t="shared" si="3"/>
        <v>0</v>
      </c>
    </row>
    <row r="15" spans="1:11" ht="15">
      <c r="A15" s="180" t="s">
        <v>17</v>
      </c>
      <c r="B15" s="181">
        <v>90</v>
      </c>
      <c r="C15" s="182">
        <f t="shared" si="0"/>
        <v>32400000</v>
      </c>
      <c r="D15" s="183"/>
      <c r="E15" s="184">
        <f t="shared" si="1"/>
        <v>567000.0000000001</v>
      </c>
      <c r="F15" s="184"/>
      <c r="G15" s="217"/>
      <c r="H15" s="224"/>
      <c r="I15" s="223"/>
      <c r="J15" s="230">
        <f t="shared" si="2"/>
        <v>0</v>
      </c>
      <c r="K15" s="230">
        <f t="shared" si="3"/>
        <v>0</v>
      </c>
    </row>
    <row r="16" spans="1:11" ht="15">
      <c r="A16" s="180" t="s">
        <v>18</v>
      </c>
      <c r="B16" s="181">
        <v>90</v>
      </c>
      <c r="C16" s="182">
        <f t="shared" si="0"/>
        <v>32400000</v>
      </c>
      <c r="D16" s="183"/>
      <c r="E16" s="184">
        <f t="shared" si="1"/>
        <v>567000.0000000001</v>
      </c>
      <c r="F16" s="184"/>
      <c r="G16" s="217"/>
      <c r="H16" s="223"/>
      <c r="I16" s="223"/>
      <c r="J16" s="230">
        <f t="shared" si="2"/>
        <v>0</v>
      </c>
      <c r="K16" s="230">
        <f t="shared" si="3"/>
        <v>0</v>
      </c>
    </row>
    <row r="17" spans="1:11" ht="15.75" thickBot="1">
      <c r="A17" s="185" t="s">
        <v>19</v>
      </c>
      <c r="B17" s="186">
        <v>90</v>
      </c>
      <c r="C17" s="187">
        <f t="shared" si="0"/>
        <v>32400000</v>
      </c>
      <c r="D17" s="188"/>
      <c r="E17" s="189">
        <f t="shared" si="1"/>
        <v>567000.0000000001</v>
      </c>
      <c r="F17" s="189">
        <f>SUM(D14:D17)</f>
        <v>0</v>
      </c>
      <c r="G17" s="218">
        <f>SUM(E14:E17)</f>
        <v>2268000.0000000005</v>
      </c>
      <c r="H17" s="224">
        <v>3000000</v>
      </c>
      <c r="I17" s="224">
        <v>825000</v>
      </c>
      <c r="J17" s="230">
        <f t="shared" si="2"/>
        <v>3000000</v>
      </c>
      <c r="K17" s="230">
        <f t="shared" si="3"/>
        <v>3093000.0000000005</v>
      </c>
    </row>
    <row r="18" spans="1:30" ht="15">
      <c r="A18" s="175" t="s">
        <v>20</v>
      </c>
      <c r="B18" s="176">
        <v>90</v>
      </c>
      <c r="C18" s="177">
        <f t="shared" si="0"/>
        <v>32400000</v>
      </c>
      <c r="D18" s="178"/>
      <c r="E18" s="179">
        <f t="shared" si="1"/>
        <v>567000.0000000001</v>
      </c>
      <c r="F18" s="179"/>
      <c r="G18" s="216"/>
      <c r="H18" s="223"/>
      <c r="I18" s="223"/>
      <c r="J18" s="230">
        <f t="shared" si="2"/>
        <v>0</v>
      </c>
      <c r="K18" s="230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80" t="s">
        <v>21</v>
      </c>
      <c r="B19" s="181">
        <v>90</v>
      </c>
      <c r="C19" s="182">
        <f t="shared" si="0"/>
        <v>32400000</v>
      </c>
      <c r="D19" s="183"/>
      <c r="E19" s="184">
        <f t="shared" si="1"/>
        <v>567000.0000000001</v>
      </c>
      <c r="F19" s="184"/>
      <c r="G19" s="217"/>
      <c r="H19" s="224"/>
      <c r="I19" s="223"/>
      <c r="J19" s="230">
        <f t="shared" si="2"/>
        <v>0</v>
      </c>
      <c r="K19" s="230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90" t="s">
        <v>22</v>
      </c>
      <c r="B20" s="191">
        <v>90</v>
      </c>
      <c r="C20" s="182">
        <f t="shared" si="0"/>
        <v>32400000</v>
      </c>
      <c r="D20" s="183">
        <v>1500000</v>
      </c>
      <c r="E20" s="184">
        <f t="shared" si="1"/>
        <v>567000.0000000001</v>
      </c>
      <c r="F20" s="192"/>
      <c r="G20" s="219"/>
      <c r="H20" s="226"/>
      <c r="I20" s="227"/>
      <c r="J20" s="230">
        <f t="shared" si="2"/>
        <v>0</v>
      </c>
      <c r="K20" s="230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93" t="s">
        <v>23</v>
      </c>
      <c r="B21" s="194">
        <v>90</v>
      </c>
      <c r="C21" s="187">
        <f t="shared" si="0"/>
        <v>30900000</v>
      </c>
      <c r="D21" s="188">
        <v>1000000</v>
      </c>
      <c r="E21" s="189">
        <f t="shared" si="1"/>
        <v>540750.0000000001</v>
      </c>
      <c r="F21" s="195">
        <f>SUM(D18:D21)</f>
        <v>2500000</v>
      </c>
      <c r="G21" s="220">
        <f>SUM(E18:E21)</f>
        <v>2241750.0000000005</v>
      </c>
      <c r="H21" s="224">
        <v>3000000</v>
      </c>
      <c r="I21" s="228">
        <v>660000</v>
      </c>
      <c r="J21" s="230">
        <f t="shared" si="2"/>
        <v>5500000</v>
      </c>
      <c r="K21" s="230">
        <f t="shared" si="3"/>
        <v>2901750.0000000005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75" t="s">
        <v>24</v>
      </c>
      <c r="B22" s="176">
        <v>90</v>
      </c>
      <c r="C22" s="177">
        <f t="shared" si="0"/>
        <v>29900000</v>
      </c>
      <c r="D22" s="178"/>
      <c r="E22" s="179">
        <f t="shared" si="1"/>
        <v>523250.00000000006</v>
      </c>
      <c r="F22" s="179"/>
      <c r="G22" s="216"/>
      <c r="H22" s="223"/>
      <c r="I22" s="223"/>
      <c r="J22" s="230">
        <f t="shared" si="2"/>
        <v>0</v>
      </c>
      <c r="K22" s="230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80" t="s">
        <v>25</v>
      </c>
      <c r="B23" s="181">
        <v>90</v>
      </c>
      <c r="C23" s="182">
        <f t="shared" si="0"/>
        <v>29900000</v>
      </c>
      <c r="D23" s="183"/>
      <c r="E23" s="184">
        <f t="shared" si="1"/>
        <v>523250.00000000006</v>
      </c>
      <c r="F23" s="184"/>
      <c r="G23" s="217"/>
      <c r="H23" s="224"/>
      <c r="I23" s="223"/>
      <c r="J23" s="230">
        <f t="shared" si="2"/>
        <v>0</v>
      </c>
      <c r="K23" s="230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80" t="s">
        <v>26</v>
      </c>
      <c r="B24" s="181">
        <v>90</v>
      </c>
      <c r="C24" s="182">
        <f t="shared" si="0"/>
        <v>29900000</v>
      </c>
      <c r="D24" s="183">
        <v>1500000</v>
      </c>
      <c r="E24" s="184">
        <f t="shared" si="1"/>
        <v>523250.00000000006</v>
      </c>
      <c r="F24" s="184"/>
      <c r="G24" s="217"/>
      <c r="H24" s="223"/>
      <c r="I24" s="223"/>
      <c r="J24" s="230">
        <f t="shared" si="2"/>
        <v>0</v>
      </c>
      <c r="K24" s="230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85" t="s">
        <v>27</v>
      </c>
      <c r="B25" s="186">
        <v>90</v>
      </c>
      <c r="C25" s="187">
        <f t="shared" si="0"/>
        <v>28400000</v>
      </c>
      <c r="D25" s="188">
        <v>1000000</v>
      </c>
      <c r="E25" s="189">
        <f t="shared" si="1"/>
        <v>497000.00000000006</v>
      </c>
      <c r="F25" s="189">
        <f>SUM(D22:D25)</f>
        <v>2500000</v>
      </c>
      <c r="G25" s="218">
        <f>SUM(E22:E25)</f>
        <v>2066750.0000000002</v>
      </c>
      <c r="H25" s="224">
        <v>3000000</v>
      </c>
      <c r="I25" s="224">
        <v>495000</v>
      </c>
      <c r="J25" s="230">
        <f t="shared" si="2"/>
        <v>5500000</v>
      </c>
      <c r="K25" s="230">
        <f t="shared" si="3"/>
        <v>2561750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02" t="s">
        <v>28</v>
      </c>
      <c r="B26" s="203">
        <v>90</v>
      </c>
      <c r="C26" s="204">
        <f t="shared" si="0"/>
        <v>27400000</v>
      </c>
      <c r="D26" s="178"/>
      <c r="E26" s="179">
        <f t="shared" si="1"/>
        <v>479500.00000000006</v>
      </c>
      <c r="F26" s="205"/>
      <c r="G26" s="221"/>
      <c r="H26" s="227"/>
      <c r="I26" s="227"/>
      <c r="J26" s="230">
        <f t="shared" si="2"/>
        <v>0</v>
      </c>
      <c r="K26" s="230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90" t="s">
        <v>29</v>
      </c>
      <c r="B27" s="191">
        <v>90</v>
      </c>
      <c r="C27" s="206">
        <f t="shared" si="0"/>
        <v>27400000</v>
      </c>
      <c r="D27" s="183">
        <v>1000000</v>
      </c>
      <c r="E27" s="184">
        <f t="shared" si="1"/>
        <v>479500.00000000006</v>
      </c>
      <c r="F27" s="192"/>
      <c r="G27" s="219"/>
      <c r="H27" s="228"/>
      <c r="I27" s="227"/>
      <c r="J27" s="230">
        <f t="shared" si="2"/>
        <v>0</v>
      </c>
      <c r="K27" s="230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190" t="s">
        <v>30</v>
      </c>
      <c r="B28" s="191">
        <v>90</v>
      </c>
      <c r="C28" s="206">
        <f t="shared" si="0"/>
        <v>26400000</v>
      </c>
      <c r="D28" s="183">
        <v>1000000</v>
      </c>
      <c r="E28" s="184">
        <f t="shared" si="1"/>
        <v>462000.00000000006</v>
      </c>
      <c r="F28" s="192"/>
      <c r="G28" s="219"/>
      <c r="H28" s="227"/>
      <c r="I28" s="227"/>
      <c r="J28" s="230">
        <f t="shared" si="2"/>
        <v>0</v>
      </c>
      <c r="K28" s="230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96" t="s">
        <v>31</v>
      </c>
      <c r="B29" s="197">
        <v>90</v>
      </c>
      <c r="C29" s="211">
        <f t="shared" si="0"/>
        <v>25400000</v>
      </c>
      <c r="D29" s="199">
        <v>1000000</v>
      </c>
      <c r="E29" s="200">
        <f t="shared" si="1"/>
        <v>444500.00000000006</v>
      </c>
      <c r="F29" s="201">
        <f>SUM(D26:D29)</f>
        <v>3000000</v>
      </c>
      <c r="G29" s="222">
        <f>SUM(E26:E29)</f>
        <v>1865500.0000000002</v>
      </c>
      <c r="H29" s="224">
        <v>3000000</v>
      </c>
      <c r="I29" s="228">
        <v>360000</v>
      </c>
      <c r="J29" s="230">
        <f t="shared" si="2"/>
        <v>6000000</v>
      </c>
      <c r="K29" s="230">
        <f t="shared" si="3"/>
        <v>2225500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75" t="s">
        <v>32</v>
      </c>
      <c r="B30" s="176">
        <v>90</v>
      </c>
      <c r="C30" s="177">
        <f t="shared" si="0"/>
        <v>24400000</v>
      </c>
      <c r="D30" s="178">
        <v>500000</v>
      </c>
      <c r="E30" s="179">
        <f t="shared" si="1"/>
        <v>427000</v>
      </c>
      <c r="F30" s="179"/>
      <c r="G30" s="216"/>
      <c r="H30" s="229"/>
      <c r="I30" s="223"/>
      <c r="J30" s="230">
        <f t="shared" si="2"/>
        <v>0</v>
      </c>
      <c r="K30" s="230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80" t="s">
        <v>33</v>
      </c>
      <c r="B31" s="181">
        <v>90</v>
      </c>
      <c r="C31" s="182">
        <f t="shared" si="0"/>
        <v>23900000</v>
      </c>
      <c r="D31" s="183">
        <v>1500000</v>
      </c>
      <c r="E31" s="184">
        <f t="shared" si="1"/>
        <v>418250</v>
      </c>
      <c r="F31" s="184"/>
      <c r="G31" s="217"/>
      <c r="H31" s="224"/>
      <c r="I31" s="223"/>
      <c r="J31" s="230">
        <f t="shared" si="2"/>
        <v>0</v>
      </c>
      <c r="K31" s="230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80" t="s">
        <v>34</v>
      </c>
      <c r="B32" s="181">
        <v>90</v>
      </c>
      <c r="C32" s="182">
        <f t="shared" si="0"/>
        <v>22400000</v>
      </c>
      <c r="D32" s="183">
        <v>1500000</v>
      </c>
      <c r="E32" s="184">
        <f t="shared" si="1"/>
        <v>392000</v>
      </c>
      <c r="F32" s="184"/>
      <c r="G32" s="217"/>
      <c r="H32" s="223"/>
      <c r="I32" s="223"/>
      <c r="J32" s="230">
        <f t="shared" si="2"/>
        <v>0</v>
      </c>
      <c r="K32" s="230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85" t="s">
        <v>35</v>
      </c>
      <c r="B33" s="186">
        <v>90</v>
      </c>
      <c r="C33" s="187">
        <f t="shared" si="0"/>
        <v>20900000</v>
      </c>
      <c r="D33" s="188">
        <v>1500000</v>
      </c>
      <c r="E33" s="189">
        <f t="shared" si="1"/>
        <v>365750.00000000006</v>
      </c>
      <c r="F33" s="189">
        <f>SUM(D30:D33)</f>
        <v>5000000</v>
      </c>
      <c r="G33" s="218">
        <f>SUM(E30:E33)</f>
        <v>1603000</v>
      </c>
      <c r="H33" s="224">
        <v>3000000</v>
      </c>
      <c r="I33" s="224">
        <v>180000</v>
      </c>
      <c r="J33" s="230">
        <f t="shared" si="2"/>
        <v>8000000</v>
      </c>
      <c r="K33" s="230">
        <f t="shared" si="3"/>
        <v>1783000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02" t="s">
        <v>36</v>
      </c>
      <c r="B34" s="203">
        <v>90</v>
      </c>
      <c r="C34" s="204">
        <f t="shared" si="0"/>
        <v>19400000</v>
      </c>
      <c r="D34" s="208">
        <v>1475000</v>
      </c>
      <c r="E34" s="205">
        <f t="shared" si="1"/>
        <v>339500.00000000006</v>
      </c>
      <c r="F34" s="205"/>
      <c r="G34" s="221"/>
      <c r="H34" s="227"/>
      <c r="I34" s="227"/>
      <c r="J34" s="230">
        <f t="shared" si="2"/>
        <v>0</v>
      </c>
      <c r="K34" s="230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90" t="s">
        <v>37</v>
      </c>
      <c r="B35" s="191">
        <v>90</v>
      </c>
      <c r="C35" s="206">
        <f t="shared" si="0"/>
        <v>17925000</v>
      </c>
      <c r="D35" s="209">
        <v>2475000</v>
      </c>
      <c r="E35" s="192">
        <f t="shared" si="1"/>
        <v>313687.50000000006</v>
      </c>
      <c r="F35" s="192"/>
      <c r="G35" s="219"/>
      <c r="H35" s="228"/>
      <c r="I35" s="227"/>
      <c r="J35" s="230">
        <f t="shared" si="2"/>
        <v>0</v>
      </c>
      <c r="K35" s="230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90" t="s">
        <v>38</v>
      </c>
      <c r="B36" s="191">
        <v>90</v>
      </c>
      <c r="C36" s="206">
        <f t="shared" si="0"/>
        <v>15450000</v>
      </c>
      <c r="D36" s="209">
        <v>2725000</v>
      </c>
      <c r="E36" s="192">
        <f t="shared" si="1"/>
        <v>270375.00000000006</v>
      </c>
      <c r="F36" s="192"/>
      <c r="G36" s="219"/>
      <c r="H36" s="227"/>
      <c r="I36" s="227"/>
      <c r="J36" s="230">
        <f t="shared" si="2"/>
        <v>0</v>
      </c>
      <c r="K36" s="230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93" t="s">
        <v>39</v>
      </c>
      <c r="B37" s="194">
        <v>90</v>
      </c>
      <c r="C37" s="207">
        <f t="shared" si="0"/>
        <v>12725000</v>
      </c>
      <c r="D37" s="210">
        <v>2925000</v>
      </c>
      <c r="E37" s="195">
        <f t="shared" si="1"/>
        <v>222687.50000000003</v>
      </c>
      <c r="F37" s="195">
        <f>SUM(D34:D37)</f>
        <v>9600000</v>
      </c>
      <c r="G37" s="220">
        <f>SUM(E34:E37)</f>
        <v>1146250.0000000002</v>
      </c>
      <c r="H37" s="224"/>
      <c r="I37" s="227"/>
      <c r="J37" s="230">
        <f t="shared" si="2"/>
        <v>9600000</v>
      </c>
      <c r="K37" s="230">
        <f t="shared" si="3"/>
        <v>1146250.0000000002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75" t="s">
        <v>40</v>
      </c>
      <c r="B38" s="176">
        <v>90</v>
      </c>
      <c r="C38" s="177">
        <f t="shared" si="0"/>
        <v>9800000</v>
      </c>
      <c r="D38" s="208">
        <v>1250000</v>
      </c>
      <c r="E38" s="179">
        <f>B38*C38*0.07/360</f>
        <v>171500.00000000003</v>
      </c>
      <c r="F38" s="179"/>
      <c r="G38" s="216"/>
      <c r="H38" s="223"/>
      <c r="I38" s="223"/>
      <c r="J38" s="230">
        <f t="shared" si="2"/>
        <v>0</v>
      </c>
      <c r="K38" s="230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80" t="s">
        <v>41</v>
      </c>
      <c r="B39" s="181">
        <v>90</v>
      </c>
      <c r="C39" s="182">
        <f t="shared" si="0"/>
        <v>8550000</v>
      </c>
      <c r="D39" s="209">
        <f>D38</f>
        <v>1250000</v>
      </c>
      <c r="E39" s="184">
        <f t="shared" si="1"/>
        <v>149625.00000000003</v>
      </c>
      <c r="F39" s="184"/>
      <c r="G39" s="217"/>
      <c r="H39" s="224"/>
      <c r="I39" s="223"/>
      <c r="J39" s="230">
        <f t="shared" si="2"/>
        <v>0</v>
      </c>
      <c r="K39" s="230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80" t="s">
        <v>42</v>
      </c>
      <c r="B40" s="181">
        <v>90</v>
      </c>
      <c r="C40" s="182">
        <f t="shared" si="0"/>
        <v>7300000</v>
      </c>
      <c r="D40" s="209">
        <v>1500000</v>
      </c>
      <c r="E40" s="184">
        <f t="shared" si="1"/>
        <v>127750.00000000001</v>
      </c>
      <c r="F40" s="184"/>
      <c r="G40" s="217"/>
      <c r="H40" s="223"/>
      <c r="I40" s="223"/>
      <c r="J40" s="230">
        <f t="shared" si="2"/>
        <v>0</v>
      </c>
      <c r="K40" s="230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85" t="s">
        <v>43</v>
      </c>
      <c r="B41" s="186">
        <v>90</v>
      </c>
      <c r="C41" s="187">
        <f aca="true" t="shared" si="4" ref="C41:C49">C40-D40</f>
        <v>5800000</v>
      </c>
      <c r="D41" s="210">
        <v>1700000</v>
      </c>
      <c r="E41" s="189">
        <f t="shared" si="1"/>
        <v>101500</v>
      </c>
      <c r="F41" s="189">
        <f>SUM(D38:D41)</f>
        <v>5700000</v>
      </c>
      <c r="G41" s="218">
        <f>SUM(E38:E41)</f>
        <v>550375</v>
      </c>
      <c r="H41" s="224"/>
      <c r="I41" s="223"/>
      <c r="J41" s="230">
        <f t="shared" si="2"/>
        <v>5700000</v>
      </c>
      <c r="K41" s="230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75" t="s">
        <v>44</v>
      </c>
      <c r="B42" s="176">
        <v>90</v>
      </c>
      <c r="C42" s="177">
        <f t="shared" si="4"/>
        <v>4100000</v>
      </c>
      <c r="D42" s="208">
        <v>1100000</v>
      </c>
      <c r="E42" s="179">
        <f aca="true" t="shared" si="5" ref="E42:E49">B42*C42*0.07/360</f>
        <v>71750.00000000001</v>
      </c>
      <c r="F42" s="179"/>
      <c r="G42" s="216"/>
      <c r="H42" s="223"/>
      <c r="I42" s="223"/>
      <c r="J42" s="230">
        <f t="shared" si="2"/>
        <v>0</v>
      </c>
      <c r="K42" s="230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80" t="s">
        <v>45</v>
      </c>
      <c r="B43" s="181">
        <v>90</v>
      </c>
      <c r="C43" s="182">
        <f t="shared" si="4"/>
        <v>3000000</v>
      </c>
      <c r="D43" s="209">
        <v>1000000</v>
      </c>
      <c r="E43" s="184">
        <f t="shared" si="5"/>
        <v>52500</v>
      </c>
      <c r="F43" s="184"/>
      <c r="G43" s="217"/>
      <c r="H43" s="224"/>
      <c r="I43" s="223"/>
      <c r="J43" s="230">
        <f t="shared" si="2"/>
        <v>0</v>
      </c>
      <c r="K43" s="230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80" t="s">
        <v>46</v>
      </c>
      <c r="B44" s="181">
        <v>90</v>
      </c>
      <c r="C44" s="182">
        <f t="shared" si="4"/>
        <v>2000000</v>
      </c>
      <c r="D44" s="209">
        <v>1000000</v>
      </c>
      <c r="E44" s="184">
        <f t="shared" si="5"/>
        <v>35000.00000000001</v>
      </c>
      <c r="F44" s="184"/>
      <c r="G44" s="217"/>
      <c r="H44" s="223"/>
      <c r="I44" s="223"/>
      <c r="J44" s="230">
        <f t="shared" si="2"/>
        <v>0</v>
      </c>
      <c r="K44" s="230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85" t="s">
        <v>47</v>
      </c>
      <c r="B45" s="186">
        <v>90</v>
      </c>
      <c r="C45" s="187">
        <f t="shared" si="4"/>
        <v>1000000</v>
      </c>
      <c r="D45" s="210">
        <v>1000000</v>
      </c>
      <c r="E45" s="189">
        <f t="shared" si="5"/>
        <v>17500.000000000004</v>
      </c>
      <c r="F45" s="189">
        <f>SUM(D42:D45)</f>
        <v>4100000</v>
      </c>
      <c r="G45" s="218">
        <f>SUM(E42:E45)</f>
        <v>176750.00000000003</v>
      </c>
      <c r="H45" s="223"/>
      <c r="I45" s="223"/>
      <c r="J45" s="230">
        <f>H45+F45</f>
        <v>4100000</v>
      </c>
      <c r="K45" s="230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75" t="s">
        <v>44</v>
      </c>
      <c r="B46" s="176">
        <v>90</v>
      </c>
      <c r="C46" s="177">
        <f t="shared" si="4"/>
        <v>0</v>
      </c>
      <c r="D46" s="208"/>
      <c r="E46" s="179">
        <f t="shared" si="5"/>
        <v>0</v>
      </c>
      <c r="F46" s="179"/>
      <c r="G46" s="216"/>
      <c r="H46" s="223"/>
      <c r="I46" s="223"/>
      <c r="J46" s="230">
        <f aca="true" t="shared" si="6" ref="J46:K49">H46+F46</f>
        <v>0</v>
      </c>
      <c r="K46" s="230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80" t="s">
        <v>45</v>
      </c>
      <c r="B47" s="181">
        <v>90</v>
      </c>
      <c r="C47" s="182">
        <f t="shared" si="4"/>
        <v>0</v>
      </c>
      <c r="D47" s="209"/>
      <c r="E47" s="184">
        <f t="shared" si="5"/>
        <v>0</v>
      </c>
      <c r="F47" s="184"/>
      <c r="G47" s="217"/>
      <c r="H47" s="224"/>
      <c r="I47" s="223"/>
      <c r="J47" s="230">
        <f t="shared" si="6"/>
        <v>0</v>
      </c>
      <c r="K47" s="230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80" t="s">
        <v>46</v>
      </c>
      <c r="B48" s="181">
        <v>90</v>
      </c>
      <c r="C48" s="182">
        <f t="shared" si="4"/>
        <v>0</v>
      </c>
      <c r="D48" s="209"/>
      <c r="E48" s="184">
        <f t="shared" si="5"/>
        <v>0</v>
      </c>
      <c r="F48" s="184"/>
      <c r="G48" s="217"/>
      <c r="H48" s="223"/>
      <c r="I48" s="223"/>
      <c r="J48" s="230">
        <f t="shared" si="6"/>
        <v>0</v>
      </c>
      <c r="K48" s="230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85" t="s">
        <v>47</v>
      </c>
      <c r="B49" s="186">
        <v>90</v>
      </c>
      <c r="C49" s="187">
        <f t="shared" si="4"/>
        <v>0</v>
      </c>
      <c r="D49" s="210"/>
      <c r="E49" s="189">
        <f t="shared" si="5"/>
        <v>0</v>
      </c>
      <c r="F49" s="189">
        <f>SUM(D46:D49)</f>
        <v>0</v>
      </c>
      <c r="G49" s="218">
        <f>SUM(E46:E49)</f>
        <v>0</v>
      </c>
      <c r="H49" s="223"/>
      <c r="I49" s="223"/>
      <c r="J49" s="230">
        <f t="shared" si="6"/>
        <v>0</v>
      </c>
      <c r="K49" s="230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32400000</v>
      </c>
      <c r="F50" s="14">
        <f aca="true" t="shared" si="7" ref="F50:K50">SUM(F9+F13+F17+F21+F25++F29+F33+F37+F41+F45+F4)</f>
        <v>32400000</v>
      </c>
      <c r="G50" s="14">
        <f t="shared" si="7"/>
        <v>15719375.000000002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55400000</v>
      </c>
      <c r="K50" s="14">
        <f t="shared" si="7"/>
        <v>21649375</v>
      </c>
      <c r="L50" s="19"/>
      <c r="M50" s="23">
        <f>H50+F50</f>
        <v>55400000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37"/>
      <c r="K51" s="23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8" t="s">
        <v>221</v>
      </c>
      <c r="B1" s="598"/>
      <c r="C1" s="598"/>
      <c r="D1" s="598"/>
      <c r="E1" s="598"/>
      <c r="F1" s="598"/>
      <c r="G1" s="598"/>
    </row>
    <row r="2" spans="1:11" ht="21.75" customHeight="1" thickBot="1">
      <c r="A2" s="352" t="s">
        <v>0</v>
      </c>
      <c r="B2" s="353"/>
      <c r="C2" s="354" t="s">
        <v>1</v>
      </c>
      <c r="D2" s="354" t="s">
        <v>2</v>
      </c>
      <c r="E2" s="355" t="s">
        <v>3</v>
      </c>
      <c r="F2" s="354" t="s">
        <v>4</v>
      </c>
      <c r="G2" s="356" t="s">
        <v>5</v>
      </c>
      <c r="H2" s="357" t="s">
        <v>215</v>
      </c>
      <c r="I2" s="358" t="s">
        <v>3</v>
      </c>
      <c r="J2" s="359" t="s">
        <v>217</v>
      </c>
      <c r="K2" s="359" t="s">
        <v>3</v>
      </c>
    </row>
    <row r="3" spans="1:11" ht="12.75">
      <c r="A3" s="360" t="s">
        <v>6</v>
      </c>
      <c r="B3" s="361">
        <v>90</v>
      </c>
      <c r="C3" s="362">
        <v>0</v>
      </c>
      <c r="D3" s="12">
        <v>0</v>
      </c>
      <c r="E3" s="13">
        <v>0</v>
      </c>
      <c r="F3" s="13">
        <v>0</v>
      </c>
      <c r="G3" s="214"/>
      <c r="H3" s="363">
        <v>2141585</v>
      </c>
      <c r="I3" s="364">
        <v>733601</v>
      </c>
      <c r="J3" s="365">
        <f>H3+'spł poż'!F8</f>
        <v>2191585</v>
      </c>
      <c r="K3" s="365">
        <f>I3+'spł poż'!G8</f>
        <v>907289</v>
      </c>
    </row>
    <row r="4" spans="1:11" ht="0.75" customHeight="1" thickBot="1">
      <c r="A4" s="366" t="s">
        <v>7</v>
      </c>
      <c r="B4" s="367">
        <v>90</v>
      </c>
      <c r="C4" s="368">
        <f>C3</f>
        <v>0</v>
      </c>
      <c r="D4" s="12">
        <v>0</v>
      </c>
      <c r="E4" s="174">
        <f>B4*C4*5.5%/360</f>
        <v>0</v>
      </c>
      <c r="F4" s="174">
        <v>0</v>
      </c>
      <c r="G4" s="215">
        <f>E3+E4</f>
        <v>0</v>
      </c>
      <c r="H4" s="369"/>
      <c r="I4" s="370"/>
      <c r="J4" s="371"/>
      <c r="K4" s="371"/>
    </row>
    <row r="5" spans="1:36" s="2" customFormat="1" ht="12.75">
      <c r="A5" s="372" t="s">
        <v>8</v>
      </c>
      <c r="B5" s="373">
        <v>90</v>
      </c>
      <c r="C5" s="178">
        <f>C4-D4</f>
        <v>0</v>
      </c>
      <c r="D5" s="178">
        <v>0</v>
      </c>
      <c r="E5" s="179">
        <f>B5*C5*5.5%/360</f>
        <v>0</v>
      </c>
      <c r="F5" s="179"/>
      <c r="G5" s="216"/>
      <c r="H5" s="239"/>
      <c r="I5" s="240"/>
      <c r="J5" s="231"/>
      <c r="K5" s="23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74" t="s">
        <v>9</v>
      </c>
      <c r="B6" s="375">
        <v>90</v>
      </c>
      <c r="C6" s="183">
        <f>C5-D5</f>
        <v>0</v>
      </c>
      <c r="D6" s="183">
        <v>0</v>
      </c>
      <c r="E6" s="184">
        <f>B6*C6*5.5%/360</f>
        <v>0</v>
      </c>
      <c r="F6" s="184"/>
      <c r="G6" s="217"/>
      <c r="H6" s="369"/>
      <c r="I6" s="370"/>
      <c r="J6" s="376"/>
      <c r="K6" s="376"/>
    </row>
    <row r="7" spans="1:11" ht="12.75">
      <c r="A7" s="374" t="s">
        <v>10</v>
      </c>
      <c r="B7" s="375">
        <v>90</v>
      </c>
      <c r="C7" s="183">
        <v>10000000</v>
      </c>
      <c r="D7" s="183">
        <v>0</v>
      </c>
      <c r="E7" s="184">
        <v>125000</v>
      </c>
      <c r="F7" s="184"/>
      <c r="G7" s="217"/>
      <c r="H7" s="369"/>
      <c r="I7" s="370"/>
      <c r="J7" s="376"/>
      <c r="K7" s="376"/>
    </row>
    <row r="8" spans="1:11" ht="13.5" thickBot="1">
      <c r="A8" s="377" t="s">
        <v>11</v>
      </c>
      <c r="B8" s="378">
        <v>90</v>
      </c>
      <c r="C8" s="188">
        <v>10000000</v>
      </c>
      <c r="D8" s="188">
        <v>0</v>
      </c>
      <c r="E8" s="184">
        <f>B8*C8*7%/360</f>
        <v>175000.00000000003</v>
      </c>
      <c r="F8" s="189">
        <f>D6+D7+D8</f>
        <v>0</v>
      </c>
      <c r="G8" s="218">
        <f>SUM(E5:E8)</f>
        <v>300000</v>
      </c>
      <c r="H8" s="379">
        <v>3485040</v>
      </c>
      <c r="I8" s="380">
        <v>697952</v>
      </c>
      <c r="J8" s="381">
        <f>H8+F8+'spł poż'!F8</f>
        <v>3535040</v>
      </c>
      <c r="K8" s="381">
        <f>I8+G8+'spł poż'!G8</f>
        <v>1171640</v>
      </c>
    </row>
    <row r="9" spans="1:11" ht="12.75">
      <c r="A9" s="372" t="s">
        <v>12</v>
      </c>
      <c r="B9" s="373">
        <v>90</v>
      </c>
      <c r="C9" s="178">
        <f>C8-D8</f>
        <v>10000000</v>
      </c>
      <c r="D9" s="178"/>
      <c r="E9" s="179">
        <f>B9*C9*0.07/360</f>
        <v>175000.00000000003</v>
      </c>
      <c r="F9" s="179"/>
      <c r="G9" s="216"/>
      <c r="H9" s="369"/>
      <c r="I9" s="370"/>
      <c r="J9" s="382">
        <f>H9+F9+'spł poż'!F9</f>
        <v>0</v>
      </c>
      <c r="K9" s="382">
        <f>I9+G9+'spł poż'!G9</f>
        <v>0</v>
      </c>
    </row>
    <row r="10" spans="1:11" ht="12.75">
      <c r="A10" s="374" t="s">
        <v>13</v>
      </c>
      <c r="B10" s="375">
        <v>90</v>
      </c>
      <c r="C10" s="183">
        <f aca="true" t="shared" si="0" ref="C10:C43">C9-D9</f>
        <v>10000000</v>
      </c>
      <c r="D10" s="183">
        <v>50000</v>
      </c>
      <c r="E10" s="184">
        <f aca="true" t="shared" si="1" ref="E10:E40">B10*C10*0.07/360</f>
        <v>175000.00000000003</v>
      </c>
      <c r="F10" s="184"/>
      <c r="G10" s="217"/>
      <c r="H10" s="369"/>
      <c r="I10" s="370"/>
      <c r="J10" s="383">
        <f>H10+F10+'spł poż'!F10</f>
        <v>0</v>
      </c>
      <c r="K10" s="383">
        <f>I10+G10+'spł poż'!G10</f>
        <v>0</v>
      </c>
    </row>
    <row r="11" spans="1:11" ht="12.75">
      <c r="A11" s="374" t="s">
        <v>14</v>
      </c>
      <c r="B11" s="375">
        <v>90</v>
      </c>
      <c r="C11" s="183">
        <f t="shared" si="0"/>
        <v>9950000</v>
      </c>
      <c r="D11" s="183"/>
      <c r="E11" s="184">
        <f t="shared" si="1"/>
        <v>174125.00000000003</v>
      </c>
      <c r="F11" s="184"/>
      <c r="G11" s="217"/>
      <c r="H11" s="369"/>
      <c r="I11" s="370"/>
      <c r="J11" s="383">
        <f>H11+F11+'spł poż'!F11</f>
        <v>0</v>
      </c>
      <c r="K11" s="383">
        <f>I11+G11+'spł poż'!G11</f>
        <v>0</v>
      </c>
    </row>
    <row r="12" spans="1:11" ht="13.5" thickBot="1">
      <c r="A12" s="377" t="s">
        <v>15</v>
      </c>
      <c r="B12" s="378">
        <v>90</v>
      </c>
      <c r="C12" s="188">
        <f t="shared" si="0"/>
        <v>9950000</v>
      </c>
      <c r="D12" s="188"/>
      <c r="E12" s="189">
        <f t="shared" si="1"/>
        <v>174125.00000000003</v>
      </c>
      <c r="F12" s="189">
        <f>SUM(D9:D12)</f>
        <v>50000</v>
      </c>
      <c r="G12" s="218">
        <f>SUM(E9:E12)</f>
        <v>698250.0000000001</v>
      </c>
      <c r="H12" s="379">
        <v>3616899</v>
      </c>
      <c r="I12" s="380">
        <v>575506</v>
      </c>
      <c r="J12" s="381">
        <f>H12+'spł poż'!F12</f>
        <v>3666899</v>
      </c>
      <c r="K12" s="381">
        <f>I12+G12+'spł poż'!G12</f>
        <v>1443944</v>
      </c>
    </row>
    <row r="13" spans="1:11" ht="12.75">
      <c r="A13" s="372" t="s">
        <v>16</v>
      </c>
      <c r="B13" s="373">
        <v>90</v>
      </c>
      <c r="C13" s="178">
        <f t="shared" si="0"/>
        <v>9950000</v>
      </c>
      <c r="D13" s="178"/>
      <c r="E13" s="179">
        <f t="shared" si="1"/>
        <v>174125.00000000003</v>
      </c>
      <c r="F13" s="179"/>
      <c r="G13" s="216"/>
      <c r="H13" s="369"/>
      <c r="I13" s="370"/>
      <c r="J13" s="382">
        <f>H13+F13+'spł poż'!F13</f>
        <v>0</v>
      </c>
      <c r="K13" s="382">
        <f>I13+G13+'spł poż'!G13</f>
        <v>0</v>
      </c>
    </row>
    <row r="14" spans="1:11" ht="12.75">
      <c r="A14" s="374" t="s">
        <v>17</v>
      </c>
      <c r="B14" s="375">
        <v>90</v>
      </c>
      <c r="C14" s="183">
        <f t="shared" si="0"/>
        <v>9950000</v>
      </c>
      <c r="D14" s="183">
        <v>50000</v>
      </c>
      <c r="E14" s="184">
        <f t="shared" si="1"/>
        <v>174125.00000000003</v>
      </c>
      <c r="F14" s="184"/>
      <c r="G14" s="217"/>
      <c r="H14" s="369"/>
      <c r="I14" s="370"/>
      <c r="J14" s="383">
        <f>H14+F14+'spł poż'!F14</f>
        <v>0</v>
      </c>
      <c r="K14" s="383">
        <f>I14+G14+'spł poż'!G14</f>
        <v>0</v>
      </c>
    </row>
    <row r="15" spans="1:11" ht="12.75">
      <c r="A15" s="374" t="s">
        <v>18</v>
      </c>
      <c r="B15" s="375">
        <v>90</v>
      </c>
      <c r="C15" s="183">
        <f t="shared" si="0"/>
        <v>9900000</v>
      </c>
      <c r="D15" s="183"/>
      <c r="E15" s="184">
        <f t="shared" si="1"/>
        <v>173250.00000000003</v>
      </c>
      <c r="F15" s="184"/>
      <c r="G15" s="217"/>
      <c r="H15" s="369"/>
      <c r="I15" s="370"/>
      <c r="J15" s="383">
        <f>H15+F15+'spł poż'!F15</f>
        <v>0</v>
      </c>
      <c r="K15" s="383">
        <f>I15+G15+'spł poż'!G15</f>
        <v>0</v>
      </c>
    </row>
    <row r="16" spans="1:11" ht="13.5" thickBot="1">
      <c r="A16" s="377" t="s">
        <v>19</v>
      </c>
      <c r="B16" s="378">
        <v>90</v>
      </c>
      <c r="C16" s="188">
        <f t="shared" si="0"/>
        <v>9900000</v>
      </c>
      <c r="D16" s="188"/>
      <c r="E16" s="189">
        <f t="shared" si="1"/>
        <v>173250.00000000003</v>
      </c>
      <c r="F16" s="189">
        <f>SUM(D13:D16)</f>
        <v>50000</v>
      </c>
      <c r="G16" s="218">
        <f>SUM(E13:E16)</f>
        <v>694750.0000000001</v>
      </c>
      <c r="H16" s="379">
        <v>3456453</v>
      </c>
      <c r="I16" s="380">
        <v>349963</v>
      </c>
      <c r="J16" s="381">
        <f>H16+'spł poż'!F16</f>
        <v>3506453</v>
      </c>
      <c r="K16" s="381">
        <f>I16+G16+'spł poż'!G16</f>
        <v>1211401</v>
      </c>
    </row>
    <row r="17" spans="1:11" ht="12.75">
      <c r="A17" s="372" t="s">
        <v>20</v>
      </c>
      <c r="B17" s="373">
        <v>90</v>
      </c>
      <c r="C17" s="178">
        <f t="shared" si="0"/>
        <v>9900000</v>
      </c>
      <c r="D17" s="178">
        <f>D16</f>
        <v>0</v>
      </c>
      <c r="E17" s="179">
        <f t="shared" si="1"/>
        <v>173250.00000000003</v>
      </c>
      <c r="F17" s="179"/>
      <c r="G17" s="216"/>
      <c r="H17" s="369"/>
      <c r="I17" s="370"/>
      <c r="J17" s="382">
        <f>H17+F17+'spł poż'!F17</f>
        <v>0</v>
      </c>
      <c r="K17" s="382">
        <f>I17+G17+'spł poż'!G17</f>
        <v>0</v>
      </c>
    </row>
    <row r="18" spans="1:11" ht="12.75">
      <c r="A18" s="374" t="s">
        <v>21</v>
      </c>
      <c r="B18" s="375">
        <v>90</v>
      </c>
      <c r="C18" s="183">
        <f t="shared" si="0"/>
        <v>9900000</v>
      </c>
      <c r="D18" s="183">
        <v>50000</v>
      </c>
      <c r="E18" s="184">
        <f t="shared" si="1"/>
        <v>173250.00000000003</v>
      </c>
      <c r="F18" s="184"/>
      <c r="G18" s="217"/>
      <c r="H18" s="369"/>
      <c r="I18" s="370"/>
      <c r="J18" s="383">
        <f>H18+F18+'spł poż'!F18</f>
        <v>0</v>
      </c>
      <c r="K18" s="383">
        <f>I18+G18+'spł poż'!G18</f>
        <v>0</v>
      </c>
    </row>
    <row r="19" spans="1:36" s="17" customFormat="1" ht="12.75">
      <c r="A19" s="384" t="s">
        <v>22</v>
      </c>
      <c r="B19" s="385">
        <v>90</v>
      </c>
      <c r="C19" s="183">
        <f t="shared" si="0"/>
        <v>9850000</v>
      </c>
      <c r="D19" s="183"/>
      <c r="E19" s="184">
        <f t="shared" si="1"/>
        <v>172375.00000000003</v>
      </c>
      <c r="F19" s="192"/>
      <c r="G19" s="219"/>
      <c r="H19" s="369"/>
      <c r="I19" s="370"/>
      <c r="J19" s="383">
        <f>H19+F19+'spł poż'!F19</f>
        <v>0</v>
      </c>
      <c r="K19" s="383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86" t="s">
        <v>23</v>
      </c>
      <c r="B20" s="387">
        <v>90</v>
      </c>
      <c r="C20" s="199">
        <f t="shared" si="0"/>
        <v>9850000</v>
      </c>
      <c r="D20" s="212"/>
      <c r="E20" s="200">
        <f t="shared" si="1"/>
        <v>172375.00000000003</v>
      </c>
      <c r="F20" s="201">
        <f>SUM(D17:D20)</f>
        <v>50000</v>
      </c>
      <c r="G20" s="222">
        <f>SUM(E17:E20)</f>
        <v>691250.0000000001</v>
      </c>
      <c r="H20" s="379">
        <v>2500000</v>
      </c>
      <c r="I20" s="380">
        <v>258568</v>
      </c>
      <c r="J20" s="388">
        <f>H20+'spł poż'!F20</f>
        <v>2550000</v>
      </c>
      <c r="K20" s="388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72" t="s">
        <v>24</v>
      </c>
      <c r="B21" s="373">
        <v>90</v>
      </c>
      <c r="C21" s="178">
        <f t="shared" si="0"/>
        <v>9850000</v>
      </c>
      <c r="D21" s="208"/>
      <c r="E21" s="179">
        <f t="shared" si="1"/>
        <v>172375.00000000003</v>
      </c>
      <c r="F21" s="179"/>
      <c r="G21" s="216"/>
      <c r="H21" s="369"/>
      <c r="I21" s="370"/>
      <c r="J21" s="382">
        <f>H21+F21+'spł poż'!F21</f>
        <v>0</v>
      </c>
      <c r="K21" s="382">
        <f>I21+G21+'spł poż'!G21</f>
        <v>0</v>
      </c>
    </row>
    <row r="22" spans="1:11" ht="12.75">
      <c r="A22" s="374" t="s">
        <v>25</v>
      </c>
      <c r="B22" s="375">
        <v>90</v>
      </c>
      <c r="C22" s="183">
        <f t="shared" si="0"/>
        <v>9850000</v>
      </c>
      <c r="D22" s="209">
        <v>50000</v>
      </c>
      <c r="E22" s="184">
        <f t="shared" si="1"/>
        <v>172375.00000000003</v>
      </c>
      <c r="F22" s="184"/>
      <c r="G22" s="217"/>
      <c r="H22" s="369"/>
      <c r="I22" s="370"/>
      <c r="J22" s="383">
        <f>H22+F22+'spł poż'!F22</f>
        <v>0</v>
      </c>
      <c r="K22" s="383">
        <f>I22+G22+'spł poż'!G22</f>
        <v>0</v>
      </c>
    </row>
    <row r="23" spans="1:11" ht="12.75">
      <c r="A23" s="374" t="s">
        <v>26</v>
      </c>
      <c r="B23" s="375">
        <v>90</v>
      </c>
      <c r="C23" s="183">
        <f t="shared" si="0"/>
        <v>9800000</v>
      </c>
      <c r="D23" s="183"/>
      <c r="E23" s="184">
        <f t="shared" si="1"/>
        <v>171500.00000000003</v>
      </c>
      <c r="F23" s="184"/>
      <c r="G23" s="217"/>
      <c r="H23" s="369"/>
      <c r="I23" s="370"/>
      <c r="J23" s="383">
        <f>H23+F23+'spł poż'!F23</f>
        <v>0</v>
      </c>
      <c r="K23" s="383">
        <f>I23+G23+'spł poż'!G23</f>
        <v>0</v>
      </c>
    </row>
    <row r="24" spans="1:11" ht="13.5" thickBot="1">
      <c r="A24" s="377" t="s">
        <v>27</v>
      </c>
      <c r="B24" s="378">
        <v>90</v>
      </c>
      <c r="C24" s="188">
        <f t="shared" si="0"/>
        <v>9800000</v>
      </c>
      <c r="D24" s="188"/>
      <c r="E24" s="189">
        <f t="shared" si="1"/>
        <v>171500.00000000003</v>
      </c>
      <c r="F24" s="189">
        <f>SUM(D21:D24)</f>
        <v>50000</v>
      </c>
      <c r="G24" s="218">
        <f>SUM(E21:E24)</f>
        <v>687750.0000000001</v>
      </c>
      <c r="H24" s="379">
        <v>2500000</v>
      </c>
      <c r="I24" s="380">
        <v>171068</v>
      </c>
      <c r="J24" s="232">
        <f>H24+'spł poż'!F24</f>
        <v>2550000</v>
      </c>
      <c r="K24" s="381">
        <f>I24+G24+'spł poż'!G24</f>
        <v>1018506.0000000001</v>
      </c>
    </row>
    <row r="25" spans="1:36" s="17" customFormat="1" ht="12.75">
      <c r="A25" s="389" t="s">
        <v>28</v>
      </c>
      <c r="B25" s="390">
        <v>90</v>
      </c>
      <c r="C25" s="178">
        <f t="shared" si="0"/>
        <v>9800000</v>
      </c>
      <c r="D25" s="208"/>
      <c r="E25" s="179">
        <f t="shared" si="1"/>
        <v>171500.00000000003</v>
      </c>
      <c r="F25" s="205"/>
      <c r="G25" s="221"/>
      <c r="H25" s="369"/>
      <c r="I25" s="370"/>
      <c r="J25" s="382">
        <f>H25+F25+'spł poż'!F25</f>
        <v>0</v>
      </c>
      <c r="K25" s="382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84" t="s">
        <v>29</v>
      </c>
      <c r="B26" s="385">
        <v>90</v>
      </c>
      <c r="C26" s="183">
        <f t="shared" si="0"/>
        <v>9800000</v>
      </c>
      <c r="D26" s="209">
        <v>100000</v>
      </c>
      <c r="E26" s="184">
        <f t="shared" si="1"/>
        <v>171500.00000000003</v>
      </c>
      <c r="F26" s="192"/>
      <c r="G26" s="219"/>
      <c r="H26" s="369"/>
      <c r="I26" s="370"/>
      <c r="J26" s="383">
        <f>H26+F26+'spł poż'!F26</f>
        <v>0</v>
      </c>
      <c r="K26" s="383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84" t="s">
        <v>30</v>
      </c>
      <c r="B27" s="385">
        <v>90</v>
      </c>
      <c r="C27" s="183">
        <f t="shared" si="0"/>
        <v>9700000</v>
      </c>
      <c r="D27" s="209"/>
      <c r="E27" s="184">
        <f t="shared" si="1"/>
        <v>169750.00000000003</v>
      </c>
      <c r="F27" s="192"/>
      <c r="G27" s="219"/>
      <c r="H27" s="369"/>
      <c r="I27" s="370"/>
      <c r="J27" s="383">
        <f>H27+F27+'spł poż'!F27</f>
        <v>0</v>
      </c>
      <c r="K27" s="383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91" t="s">
        <v>31</v>
      </c>
      <c r="B28" s="392">
        <v>90</v>
      </c>
      <c r="C28" s="188">
        <f t="shared" si="0"/>
        <v>9700000</v>
      </c>
      <c r="D28" s="210"/>
      <c r="E28" s="189">
        <f t="shared" si="1"/>
        <v>169750.00000000003</v>
      </c>
      <c r="F28" s="195">
        <f>SUM(D25:D28)</f>
        <v>100000</v>
      </c>
      <c r="G28" s="220">
        <f>SUM(E25:E28)</f>
        <v>682500.0000000001</v>
      </c>
      <c r="H28" s="379">
        <v>2376170</v>
      </c>
      <c r="I28" s="380">
        <v>83568</v>
      </c>
      <c r="J28" s="381">
        <f>H28+'spł poż'!F28</f>
        <v>2401170</v>
      </c>
      <c r="K28" s="381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72" t="s">
        <v>32</v>
      </c>
      <c r="B29" s="373">
        <v>90</v>
      </c>
      <c r="C29" s="178">
        <f t="shared" si="0"/>
        <v>9700000</v>
      </c>
      <c r="D29" s="178"/>
      <c r="E29" s="179">
        <f t="shared" si="1"/>
        <v>169750.00000000003</v>
      </c>
      <c r="F29" s="179"/>
      <c r="G29" s="216"/>
      <c r="H29" s="369"/>
      <c r="I29" s="370"/>
      <c r="J29" s="382">
        <f>H29+F29+'spł poż'!F29</f>
        <v>0</v>
      </c>
      <c r="K29" s="382">
        <f>I29+G29+'spł poż'!G29</f>
        <v>0</v>
      </c>
    </row>
    <row r="30" spans="1:11" ht="12.75">
      <c r="A30" s="374" t="s">
        <v>33</v>
      </c>
      <c r="B30" s="375">
        <v>90</v>
      </c>
      <c r="C30" s="183">
        <f t="shared" si="0"/>
        <v>9700000</v>
      </c>
      <c r="D30" s="209">
        <v>1000000</v>
      </c>
      <c r="E30" s="184">
        <f t="shared" si="1"/>
        <v>169750.00000000003</v>
      </c>
      <c r="F30" s="184"/>
      <c r="G30" s="217"/>
      <c r="H30" s="369"/>
      <c r="I30" s="370"/>
      <c r="J30" s="383">
        <f>H30+F30+'spł poż'!F30</f>
        <v>0</v>
      </c>
      <c r="K30" s="383">
        <f>I30+G30+'spł poż'!G30</f>
        <v>0</v>
      </c>
    </row>
    <row r="31" spans="1:11" ht="12.75">
      <c r="A31" s="374" t="s">
        <v>34</v>
      </c>
      <c r="B31" s="375">
        <v>90</v>
      </c>
      <c r="C31" s="183">
        <f t="shared" si="0"/>
        <v>8700000</v>
      </c>
      <c r="D31" s="209"/>
      <c r="E31" s="184">
        <f t="shared" si="1"/>
        <v>152250.00000000003</v>
      </c>
      <c r="F31" s="184"/>
      <c r="G31" s="217"/>
      <c r="H31" s="369"/>
      <c r="I31" s="370"/>
      <c r="J31" s="383">
        <f>H31+F31+'spł poż'!F31</f>
        <v>0</v>
      </c>
      <c r="K31" s="383">
        <f>I31+G31+'spł poż'!G31</f>
        <v>0</v>
      </c>
    </row>
    <row r="32" spans="1:11" ht="13.5" thickBot="1">
      <c r="A32" s="393" t="s">
        <v>35</v>
      </c>
      <c r="B32" s="394">
        <v>90</v>
      </c>
      <c r="C32" s="199">
        <f t="shared" si="0"/>
        <v>8700000</v>
      </c>
      <c r="D32" s="212"/>
      <c r="E32" s="200">
        <f t="shared" si="1"/>
        <v>152250.00000000003</v>
      </c>
      <c r="F32" s="200">
        <f>SUM(D29:D32)</f>
        <v>1000000</v>
      </c>
      <c r="G32" s="395">
        <f>SUM(E29:E32)</f>
        <v>644000.0000000001</v>
      </c>
      <c r="H32" s="379">
        <v>11500</v>
      </c>
      <c r="I32" s="370">
        <v>403</v>
      </c>
      <c r="J32" s="388">
        <f>H32+'spł poż'!F32</f>
        <v>62028</v>
      </c>
      <c r="K32" s="388">
        <f>I32+G32+'spł poż'!G32</f>
        <v>770831.2600000001</v>
      </c>
    </row>
    <row r="33" spans="1:36" s="17" customFormat="1" ht="12.75">
      <c r="A33" s="389" t="s">
        <v>36</v>
      </c>
      <c r="B33" s="390">
        <v>90</v>
      </c>
      <c r="C33" s="178">
        <f t="shared" si="0"/>
        <v>8700000</v>
      </c>
      <c r="D33" s="208"/>
      <c r="E33" s="179">
        <f t="shared" si="1"/>
        <v>152250.00000000003</v>
      </c>
      <c r="F33" s="205"/>
      <c r="G33" s="221"/>
      <c r="H33" s="369"/>
      <c r="I33" s="370"/>
      <c r="J33" s="382">
        <f>H33+F33+'spł poż'!F33</f>
        <v>0</v>
      </c>
      <c r="K33" s="382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84" t="s">
        <v>37</v>
      </c>
      <c r="B34" s="385">
        <v>90</v>
      </c>
      <c r="C34" s="183">
        <f t="shared" si="0"/>
        <v>8700000</v>
      </c>
      <c r="D34" s="209">
        <v>500000</v>
      </c>
      <c r="E34" s="184">
        <f t="shared" si="1"/>
        <v>152250.00000000003</v>
      </c>
      <c r="F34" s="192"/>
      <c r="G34" s="219"/>
      <c r="H34" s="369"/>
      <c r="I34" s="370"/>
      <c r="J34" s="383">
        <f>H34+F34+'spł poż'!F34</f>
        <v>0</v>
      </c>
      <c r="K34" s="383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84" t="s">
        <v>38</v>
      </c>
      <c r="B35" s="385">
        <v>90</v>
      </c>
      <c r="C35" s="183">
        <f t="shared" si="0"/>
        <v>8200000</v>
      </c>
      <c r="D35" s="209"/>
      <c r="E35" s="184">
        <f t="shared" si="1"/>
        <v>143500.00000000003</v>
      </c>
      <c r="F35" s="192"/>
      <c r="G35" s="219"/>
      <c r="H35" s="369"/>
      <c r="I35" s="370"/>
      <c r="J35" s="383">
        <f>H35+F35+'spł poż'!F35</f>
        <v>0</v>
      </c>
      <c r="K35" s="383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91" t="s">
        <v>39</v>
      </c>
      <c r="B36" s="392">
        <v>90</v>
      </c>
      <c r="C36" s="188">
        <f t="shared" si="0"/>
        <v>8200000</v>
      </c>
      <c r="D36" s="210"/>
      <c r="E36" s="189">
        <f t="shared" si="1"/>
        <v>143500.00000000003</v>
      </c>
      <c r="F36" s="195">
        <f>SUM(D33:D36)</f>
        <v>500000</v>
      </c>
      <c r="G36" s="220">
        <f>SUM(E33:E36)</f>
        <v>591500.0000000001</v>
      </c>
      <c r="H36" s="369"/>
      <c r="I36" s="370"/>
      <c r="J36" s="381">
        <f>H36+'spł poż'!F36</f>
        <v>750523</v>
      </c>
      <c r="K36" s="381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72" t="s">
        <v>40</v>
      </c>
      <c r="B37" s="373">
        <v>90</v>
      </c>
      <c r="C37" s="178">
        <f t="shared" si="0"/>
        <v>8200000</v>
      </c>
      <c r="D37" s="178">
        <f>D36</f>
        <v>0</v>
      </c>
      <c r="E37" s="179">
        <f t="shared" si="1"/>
        <v>143500.00000000003</v>
      </c>
      <c r="F37" s="179"/>
      <c r="G37" s="216"/>
      <c r="H37" s="369"/>
      <c r="I37" s="370"/>
      <c r="J37" s="382">
        <f>H37+F37+'spł poż'!F37</f>
        <v>0</v>
      </c>
      <c r="K37" s="382">
        <f>I37+G37+'spł poż'!G37</f>
        <v>0</v>
      </c>
    </row>
    <row r="38" spans="1:11" ht="12.75">
      <c r="A38" s="374" t="s">
        <v>41</v>
      </c>
      <c r="B38" s="375">
        <v>90</v>
      </c>
      <c r="C38" s="183">
        <f t="shared" si="0"/>
        <v>8200000</v>
      </c>
      <c r="D38" s="183">
        <v>500000</v>
      </c>
      <c r="E38" s="184">
        <f t="shared" si="1"/>
        <v>143500.00000000003</v>
      </c>
      <c r="F38" s="184"/>
      <c r="G38" s="217"/>
      <c r="H38" s="369"/>
      <c r="I38" s="370"/>
      <c r="J38" s="383">
        <f>H38+F38+'spł poż'!F38</f>
        <v>0</v>
      </c>
      <c r="K38" s="383">
        <f>I38+G38+'spł poż'!G38</f>
        <v>0</v>
      </c>
    </row>
    <row r="39" spans="1:11" ht="12.75">
      <c r="A39" s="374" t="s">
        <v>42</v>
      </c>
      <c r="B39" s="375">
        <v>90</v>
      </c>
      <c r="C39" s="183">
        <f t="shared" si="0"/>
        <v>7700000</v>
      </c>
      <c r="D39" s="183"/>
      <c r="E39" s="184">
        <f t="shared" si="1"/>
        <v>134750.00000000003</v>
      </c>
      <c r="F39" s="184"/>
      <c r="G39" s="217"/>
      <c r="H39" s="369"/>
      <c r="I39" s="370"/>
      <c r="J39" s="383">
        <f>H39+F39+'spł poż'!F39</f>
        <v>0</v>
      </c>
      <c r="K39" s="383">
        <f>I39+G39+'spł poż'!G39</f>
        <v>0</v>
      </c>
    </row>
    <row r="40" spans="1:11" ht="13.5" thickBot="1">
      <c r="A40" s="377" t="s">
        <v>43</v>
      </c>
      <c r="B40" s="378">
        <v>90</v>
      </c>
      <c r="C40" s="188">
        <f t="shared" si="0"/>
        <v>7700000</v>
      </c>
      <c r="D40" s="188"/>
      <c r="E40" s="189">
        <f t="shared" si="1"/>
        <v>134750.00000000003</v>
      </c>
      <c r="F40" s="189">
        <f>SUM(D37:D40)</f>
        <v>500000</v>
      </c>
      <c r="G40" s="218">
        <f>SUM(E37:E40)</f>
        <v>556500.0000000001</v>
      </c>
      <c r="H40" s="369"/>
      <c r="I40" s="370"/>
      <c r="J40" s="381">
        <f>'spł poż'!F40</f>
        <v>600000</v>
      </c>
      <c r="K40" s="381">
        <f>I40+G40+'spł poż'!G40</f>
        <v>612426.4300000002</v>
      </c>
    </row>
    <row r="41" spans="1:11" ht="12.75">
      <c r="A41" s="372" t="s">
        <v>44</v>
      </c>
      <c r="B41" s="373">
        <v>90</v>
      </c>
      <c r="C41" s="178">
        <f t="shared" si="0"/>
        <v>7700000</v>
      </c>
      <c r="D41" s="178"/>
      <c r="E41" s="179">
        <f aca="true" t="shared" si="2" ref="E41:E48">B41*C41*0.07/360</f>
        <v>134750.00000000003</v>
      </c>
      <c r="F41" s="179"/>
      <c r="G41" s="216"/>
      <c r="H41" s="369"/>
      <c r="I41" s="370"/>
      <c r="J41" s="382">
        <f>H41+F41+'spł poż'!F41</f>
        <v>0</v>
      </c>
      <c r="K41" s="382">
        <f>I41+G41+'spł poż'!G41</f>
        <v>0</v>
      </c>
    </row>
    <row r="42" spans="1:11" ht="12.75">
      <c r="A42" s="374" t="s">
        <v>45</v>
      </c>
      <c r="B42" s="375">
        <v>90</v>
      </c>
      <c r="C42" s="183">
        <f t="shared" si="0"/>
        <v>7700000</v>
      </c>
      <c r="D42" s="183">
        <v>600000</v>
      </c>
      <c r="E42" s="184">
        <f t="shared" si="2"/>
        <v>134750.00000000003</v>
      </c>
      <c r="F42" s="184"/>
      <c r="G42" s="217"/>
      <c r="H42" s="369"/>
      <c r="I42" s="370"/>
      <c r="J42" s="383">
        <f>H42+F42+'spł poż'!F42</f>
        <v>0</v>
      </c>
      <c r="K42" s="383">
        <f>I42+G42+'spł poż'!G42</f>
        <v>0</v>
      </c>
    </row>
    <row r="43" spans="1:11" ht="12.75">
      <c r="A43" s="374" t="s">
        <v>46</v>
      </c>
      <c r="B43" s="375">
        <v>90</v>
      </c>
      <c r="C43" s="183">
        <f t="shared" si="0"/>
        <v>7100000</v>
      </c>
      <c r="D43" s="183">
        <v>600000</v>
      </c>
      <c r="E43" s="184">
        <f t="shared" si="2"/>
        <v>124250.00000000001</v>
      </c>
      <c r="F43" s="184"/>
      <c r="G43" s="217"/>
      <c r="H43" s="369"/>
      <c r="I43" s="370"/>
      <c r="J43" s="383">
        <f>H43+F43+'spł poż'!F43</f>
        <v>0</v>
      </c>
      <c r="K43" s="383">
        <f>I43+G43+'spł poż'!G43</f>
        <v>0</v>
      </c>
    </row>
    <row r="44" spans="1:11" ht="13.5" thickBot="1">
      <c r="A44" s="377" t="s">
        <v>47</v>
      </c>
      <c r="B44" s="378">
        <v>90</v>
      </c>
      <c r="C44" s="188">
        <f>C43-D43</f>
        <v>6500000</v>
      </c>
      <c r="D44" s="188"/>
      <c r="E44" s="189">
        <f t="shared" si="2"/>
        <v>113750.00000000001</v>
      </c>
      <c r="F44" s="189">
        <f>SUM(D41:D44)</f>
        <v>1200000</v>
      </c>
      <c r="G44" s="218">
        <f>SUM(E41:E44)</f>
        <v>507500.00000000006</v>
      </c>
      <c r="H44" s="396"/>
      <c r="I44" s="397"/>
      <c r="J44" s="381">
        <f>H44+'spł poż'!F44</f>
        <v>423949</v>
      </c>
      <c r="K44" s="381">
        <f>I44+G44+'spł poż'!G44</f>
        <v>526257.3225</v>
      </c>
    </row>
    <row r="45" spans="1:11" ht="12.75">
      <c r="A45" s="372" t="s">
        <v>382</v>
      </c>
      <c r="B45" s="373">
        <v>90</v>
      </c>
      <c r="C45" s="178">
        <f>C44-D44</f>
        <v>6500000</v>
      </c>
      <c r="D45" s="178">
        <v>3500000</v>
      </c>
      <c r="E45" s="179">
        <f t="shared" si="2"/>
        <v>113750.00000000001</v>
      </c>
      <c r="F45" s="179"/>
      <c r="G45" s="216"/>
      <c r="H45" s="369"/>
      <c r="I45" s="370"/>
      <c r="J45" s="382"/>
      <c r="K45" s="382">
        <f>I45+G45+'spł poż'!G45</f>
        <v>0</v>
      </c>
    </row>
    <row r="46" spans="1:11" ht="12.75">
      <c r="A46" s="374" t="s">
        <v>383</v>
      </c>
      <c r="B46" s="375">
        <v>90</v>
      </c>
      <c r="C46" s="183">
        <f>C45-D45</f>
        <v>3000000</v>
      </c>
      <c r="D46" s="183"/>
      <c r="E46" s="184">
        <f t="shared" si="2"/>
        <v>52500</v>
      </c>
      <c r="F46" s="184"/>
      <c r="G46" s="217"/>
      <c r="H46" s="369"/>
      <c r="I46" s="370"/>
      <c r="J46" s="383">
        <f>H46+F46+'spł poż'!F46</f>
        <v>0</v>
      </c>
      <c r="K46" s="383">
        <f>I46+G46+'spł poż'!G46</f>
        <v>0</v>
      </c>
    </row>
    <row r="47" spans="1:11" ht="12.75">
      <c r="A47" s="374" t="s">
        <v>384</v>
      </c>
      <c r="B47" s="375">
        <v>90</v>
      </c>
      <c r="C47" s="183">
        <f>C46-D46</f>
        <v>3000000</v>
      </c>
      <c r="D47" s="183">
        <v>3000000</v>
      </c>
      <c r="E47" s="184">
        <f t="shared" si="2"/>
        <v>52500</v>
      </c>
      <c r="F47" s="184"/>
      <c r="G47" s="217"/>
      <c r="H47" s="369"/>
      <c r="I47" s="370"/>
      <c r="J47" s="383">
        <f>H47+F47+'spł poż'!F47</f>
        <v>0</v>
      </c>
      <c r="K47" s="383">
        <f>I47+G47+'spł poż'!G47</f>
        <v>0</v>
      </c>
    </row>
    <row r="48" spans="1:11" ht="13.5" thickBot="1">
      <c r="A48" s="377" t="s">
        <v>385</v>
      </c>
      <c r="B48" s="378">
        <v>90</v>
      </c>
      <c r="C48" s="188">
        <f>C47-D47</f>
        <v>0</v>
      </c>
      <c r="D48" s="188"/>
      <c r="E48" s="189">
        <f t="shared" si="2"/>
        <v>0</v>
      </c>
      <c r="F48" s="189">
        <f>SUM(D45:D48)</f>
        <v>6500000</v>
      </c>
      <c r="G48" s="218">
        <f>SUM(E45:E48)</f>
        <v>218750</v>
      </c>
      <c r="H48" s="396"/>
      <c r="I48" s="397"/>
      <c r="J48" s="381"/>
      <c r="K48" s="381">
        <f>I48+G48+'spł poż'!G48</f>
        <v>218750</v>
      </c>
    </row>
    <row r="49" spans="1:11" ht="12.75">
      <c r="A49" s="398"/>
      <c r="B49" s="399"/>
      <c r="C49" s="398"/>
      <c r="D49" s="400">
        <f>SUM(D9:D48)</f>
        <v>10000000</v>
      </c>
      <c r="F49" s="400">
        <f>SUM(F9:F48)</f>
        <v>10000000</v>
      </c>
      <c r="G49" s="400">
        <f>SUM(G9:G48)</f>
        <v>5972750.000000001</v>
      </c>
      <c r="H49" s="401"/>
      <c r="I49" s="401"/>
      <c r="J49" s="400">
        <f>SUM(J9:J48)</f>
        <v>16511022</v>
      </c>
      <c r="K49" s="402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view="pageBreakPreview" zoomScale="60" zoomScaleNormal="90" zoomScalePageLayoutView="0" workbookViewId="0" topLeftCell="B64">
      <selection activeCell="G66" sqref="G66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5.7109375" style="24" customWidth="1"/>
    <col min="5" max="5" width="15.57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433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434</v>
      </c>
      <c r="N5" s="53"/>
      <c r="O5" s="55"/>
      <c r="P5" s="55"/>
      <c r="Q5" s="55"/>
    </row>
    <row r="6" spans="1:17" ht="19.5" customHeight="1" thickBot="1">
      <c r="A6" s="612" t="s">
        <v>389</v>
      </c>
      <c r="B6" s="613"/>
      <c r="C6" s="613" t="s">
        <v>50</v>
      </c>
      <c r="D6" s="613"/>
      <c r="E6" s="613" t="s">
        <v>51</v>
      </c>
      <c r="F6" s="613" t="s">
        <v>52</v>
      </c>
      <c r="G6" s="613" t="s">
        <v>53</v>
      </c>
      <c r="H6" s="613" t="s">
        <v>54</v>
      </c>
      <c r="I6" s="613" t="s">
        <v>55</v>
      </c>
      <c r="J6" s="613" t="s">
        <v>56</v>
      </c>
      <c r="K6" s="613" t="s">
        <v>57</v>
      </c>
      <c r="L6" s="613" t="s">
        <v>58</v>
      </c>
      <c r="M6" s="613" t="s">
        <v>59</v>
      </c>
      <c r="N6" s="587"/>
      <c r="O6" s="587"/>
      <c r="P6" s="587"/>
      <c r="Q6" s="588"/>
    </row>
    <row r="7" spans="1:17" ht="19.5" customHeight="1" thickBo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585"/>
      <c r="O7" s="585"/>
      <c r="P7" s="585"/>
      <c r="Q7" s="589"/>
    </row>
    <row r="8" spans="1:17" ht="19.5" customHeight="1" thickBot="1">
      <c r="A8" s="614"/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584"/>
      <c r="O8" s="584"/>
      <c r="P8" s="584"/>
      <c r="Q8" s="590"/>
    </row>
    <row r="9" spans="1:17" ht="16.5" customHeight="1" thickBot="1">
      <c r="A9" s="673" t="s">
        <v>60</v>
      </c>
      <c r="B9" s="661" t="s">
        <v>61</v>
      </c>
      <c r="C9" s="665"/>
      <c r="D9" s="661" t="s">
        <v>444</v>
      </c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3"/>
    </row>
    <row r="10" spans="1:17" ht="26.25" customHeight="1" thickBot="1">
      <c r="A10" s="674"/>
      <c r="B10" s="666"/>
      <c r="C10" s="667"/>
      <c r="D10" s="670" t="s">
        <v>443</v>
      </c>
      <c r="E10" s="671"/>
      <c r="F10" s="672"/>
      <c r="G10" s="637" t="s">
        <v>62</v>
      </c>
      <c r="H10" s="638"/>
      <c r="I10" s="638"/>
      <c r="J10" s="638"/>
      <c r="K10" s="638"/>
      <c r="L10" s="638"/>
      <c r="M10" s="638"/>
      <c r="N10" s="638"/>
      <c r="O10" s="638"/>
      <c r="P10" s="638"/>
      <c r="Q10" s="639"/>
    </row>
    <row r="11" spans="1:17" ht="18" customHeight="1">
      <c r="A11" s="674"/>
      <c r="B11" s="666"/>
      <c r="C11" s="667"/>
      <c r="D11" s="653">
        <v>2009</v>
      </c>
      <c r="E11" s="616">
        <v>2010</v>
      </c>
      <c r="F11" s="676">
        <v>2011</v>
      </c>
      <c r="G11" s="678">
        <v>2012</v>
      </c>
      <c r="H11" s="677">
        <v>2013</v>
      </c>
      <c r="I11" s="619">
        <v>2014</v>
      </c>
      <c r="J11" s="619">
        <v>2015</v>
      </c>
      <c r="K11" s="619">
        <v>2016</v>
      </c>
      <c r="L11" s="619">
        <v>2017</v>
      </c>
      <c r="M11" s="619">
        <v>2018</v>
      </c>
      <c r="N11" s="619">
        <v>2019</v>
      </c>
      <c r="O11" s="619">
        <v>2020</v>
      </c>
      <c r="P11" s="619">
        <v>2021</v>
      </c>
      <c r="Q11" s="619">
        <v>2022</v>
      </c>
    </row>
    <row r="12" spans="1:17" ht="14.25" customHeight="1" thickBot="1">
      <c r="A12" s="675"/>
      <c r="B12" s="668"/>
      <c r="C12" s="669"/>
      <c r="D12" s="653"/>
      <c r="E12" s="616"/>
      <c r="F12" s="676"/>
      <c r="G12" s="627"/>
      <c r="H12" s="647"/>
      <c r="I12" s="620"/>
      <c r="J12" s="620"/>
      <c r="K12" s="620"/>
      <c r="L12" s="620"/>
      <c r="M12" s="620"/>
      <c r="N12" s="620"/>
      <c r="O12" s="620"/>
      <c r="P12" s="620"/>
      <c r="Q12" s="620"/>
    </row>
    <row r="13" spans="1:17" s="25" customFormat="1" ht="19.5" customHeight="1">
      <c r="A13" s="68">
        <v>1</v>
      </c>
      <c r="B13" s="617" t="s">
        <v>63</v>
      </c>
      <c r="C13" s="618"/>
      <c r="D13" s="74">
        <f>D14+D15</f>
        <v>81699693</v>
      </c>
      <c r="E13" s="291">
        <f>E14+E15</f>
        <v>85095905</v>
      </c>
      <c r="F13" s="282">
        <f>F14+F15</f>
        <v>107182193</v>
      </c>
      <c r="G13" s="298">
        <f>G14+G15</f>
        <v>135520592</v>
      </c>
      <c r="H13" s="292">
        <f aca="true" t="shared" si="0" ref="H13:Q13">H14+H15</f>
        <v>175067924</v>
      </c>
      <c r="I13" s="74">
        <f t="shared" si="0"/>
        <v>146277436</v>
      </c>
      <c r="J13" s="281">
        <f t="shared" si="0"/>
        <v>138639688</v>
      </c>
      <c r="K13" s="74">
        <f t="shared" si="0"/>
        <v>151446180</v>
      </c>
      <c r="L13" s="74">
        <f t="shared" si="0"/>
        <v>129860716</v>
      </c>
      <c r="M13" s="74">
        <f t="shared" si="0"/>
        <v>135174581</v>
      </c>
      <c r="N13" s="74">
        <f t="shared" si="0"/>
        <v>140750256</v>
      </c>
      <c r="O13" s="74">
        <f t="shared" si="0"/>
        <v>140603825</v>
      </c>
      <c r="P13" s="74">
        <f>P14+P15</f>
        <v>142658641</v>
      </c>
      <c r="Q13" s="74">
        <f t="shared" si="0"/>
        <v>144657935</v>
      </c>
    </row>
    <row r="14" spans="1:17" ht="19.5" customHeight="1">
      <c r="A14" s="69" t="s">
        <v>64</v>
      </c>
      <c r="B14" s="623" t="s">
        <v>65</v>
      </c>
      <c r="C14" s="624"/>
      <c r="D14" s="71">
        <v>80665439</v>
      </c>
      <c r="E14" s="308">
        <v>84339995</v>
      </c>
      <c r="F14" s="283">
        <v>101368763</v>
      </c>
      <c r="G14" s="299">
        <v>105995816</v>
      </c>
      <c r="H14" s="306">
        <v>115206973</v>
      </c>
      <c r="I14" s="72">
        <v>118126336</v>
      </c>
      <c r="J14" s="71">
        <v>118175588</v>
      </c>
      <c r="K14" s="71">
        <v>125586180</v>
      </c>
      <c r="L14" s="71">
        <v>129860716</v>
      </c>
      <c r="M14" s="71">
        <v>135174581</v>
      </c>
      <c r="N14" s="71">
        <v>140750256</v>
      </c>
      <c r="O14" s="71">
        <v>140603825</v>
      </c>
      <c r="P14" s="71">
        <v>142658641</v>
      </c>
      <c r="Q14" s="71">
        <v>144657935</v>
      </c>
    </row>
    <row r="15" spans="1:17" ht="19.5" customHeight="1">
      <c r="A15" s="69" t="s">
        <v>66</v>
      </c>
      <c r="B15" s="623" t="s">
        <v>67</v>
      </c>
      <c r="C15" s="624"/>
      <c r="D15" s="71">
        <v>1034254</v>
      </c>
      <c r="E15" s="308">
        <v>755910</v>
      </c>
      <c r="F15" s="283">
        <v>5813430</v>
      </c>
      <c r="G15" s="299">
        <v>29524776</v>
      </c>
      <c r="H15" s="306">
        <v>59860951</v>
      </c>
      <c r="I15" s="72">
        <v>28151100</v>
      </c>
      <c r="J15" s="71">
        <v>20464100</v>
      </c>
      <c r="K15" s="71">
        <v>25860000</v>
      </c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68</v>
      </c>
      <c r="B16" s="83" t="s">
        <v>69</v>
      </c>
      <c r="C16" s="277" t="s">
        <v>70</v>
      </c>
      <c r="D16" s="71">
        <v>197354</v>
      </c>
      <c r="E16" s="308">
        <v>255910</v>
      </c>
      <c r="F16" s="283">
        <v>5637026</v>
      </c>
      <c r="G16" s="299">
        <v>27013900</v>
      </c>
      <c r="H16" s="307">
        <v>57000000</v>
      </c>
      <c r="I16" s="72">
        <v>14000000</v>
      </c>
      <c r="J16" s="72">
        <v>20000000</v>
      </c>
      <c r="K16" s="72">
        <v>14860000</v>
      </c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658" t="s">
        <v>71</v>
      </c>
      <c r="C17" s="659"/>
      <c r="D17" s="74">
        <v>71551205</v>
      </c>
      <c r="E17" s="291">
        <v>76029699</v>
      </c>
      <c r="F17" s="282">
        <v>92994815</v>
      </c>
      <c r="G17" s="298">
        <v>102217103</v>
      </c>
      <c r="H17" s="292">
        <v>110221146</v>
      </c>
      <c r="I17" s="74">
        <v>101372832</v>
      </c>
      <c r="J17" s="74">
        <v>102152682</v>
      </c>
      <c r="K17" s="74">
        <v>104042174</v>
      </c>
      <c r="L17" s="74">
        <v>105364353</v>
      </c>
      <c r="M17" s="74">
        <v>106926222</v>
      </c>
      <c r="N17" s="74">
        <v>107712332</v>
      </c>
      <c r="O17" s="74">
        <v>110641024</v>
      </c>
      <c r="P17" s="74">
        <v>112231685</v>
      </c>
      <c r="Q17" s="74">
        <v>114939185</v>
      </c>
    </row>
    <row r="18" spans="1:17" ht="24.75" customHeight="1">
      <c r="A18" s="69" t="s">
        <v>64</v>
      </c>
      <c r="B18" s="664" t="s">
        <v>69</v>
      </c>
      <c r="C18" s="278" t="s">
        <v>72</v>
      </c>
      <c r="D18" s="71">
        <v>25712119</v>
      </c>
      <c r="E18" s="308">
        <v>28031630</v>
      </c>
      <c r="F18" s="283">
        <v>32260512</v>
      </c>
      <c r="G18" s="299">
        <v>38263367</v>
      </c>
      <c r="H18" s="306">
        <v>40780828</v>
      </c>
      <c r="I18" s="72">
        <v>41596445</v>
      </c>
      <c r="J18" s="71">
        <v>42428373</v>
      </c>
      <c r="K18" s="71">
        <v>43276941</v>
      </c>
      <c r="L18" s="71">
        <v>44142480</v>
      </c>
      <c r="M18" s="71">
        <v>45025329</v>
      </c>
      <c r="N18" s="71">
        <v>45925836</v>
      </c>
      <c r="O18" s="71">
        <v>45925836</v>
      </c>
      <c r="P18" s="71">
        <v>45925836</v>
      </c>
      <c r="Q18" s="71">
        <f>N18*102%</f>
        <v>46844352.72</v>
      </c>
    </row>
    <row r="19" spans="1:17" ht="24.75" customHeight="1">
      <c r="A19" s="69" t="s">
        <v>66</v>
      </c>
      <c r="B19" s="664"/>
      <c r="C19" s="278" t="s">
        <v>73</v>
      </c>
      <c r="D19" s="71">
        <v>7561065</v>
      </c>
      <c r="E19" s="308">
        <v>8358243</v>
      </c>
      <c r="F19" s="283">
        <v>9933941</v>
      </c>
      <c r="G19" s="299">
        <v>13373110</v>
      </c>
      <c r="H19" s="306">
        <v>13706915</v>
      </c>
      <c r="I19" s="72">
        <v>13800050</v>
      </c>
      <c r="J19" s="71">
        <v>13900000</v>
      </c>
      <c r="K19" s="71">
        <v>14000000</v>
      </c>
      <c r="L19" s="71">
        <v>14280000</v>
      </c>
      <c r="M19" s="71">
        <v>14565600</v>
      </c>
      <c r="N19" s="71">
        <v>14856912</v>
      </c>
      <c r="O19" s="71">
        <v>15154050</v>
      </c>
      <c r="P19" s="71">
        <f>O19*102%</f>
        <v>15457131</v>
      </c>
      <c r="Q19" s="71">
        <v>15766274</v>
      </c>
    </row>
    <row r="20" spans="1:17" ht="20.25" customHeight="1">
      <c r="A20" s="69" t="s">
        <v>74</v>
      </c>
      <c r="B20" s="664"/>
      <c r="C20" s="278" t="s">
        <v>75</v>
      </c>
      <c r="D20" s="71">
        <v>0</v>
      </c>
      <c r="E20" s="308">
        <v>0</v>
      </c>
      <c r="F20" s="305">
        <v>0</v>
      </c>
      <c r="G20" s="303"/>
      <c r="H20" s="296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68</v>
      </c>
      <c r="B21" s="664"/>
      <c r="C21" s="278" t="s">
        <v>76</v>
      </c>
      <c r="D21" s="70">
        <v>0</v>
      </c>
      <c r="E21" s="308">
        <v>0</v>
      </c>
      <c r="F21" s="305">
        <v>0</v>
      </c>
      <c r="G21" s="303">
        <v>0</v>
      </c>
      <c r="H21" s="296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77</v>
      </c>
      <c r="B22" s="664"/>
      <c r="C22" s="278" t="s">
        <v>78</v>
      </c>
      <c r="D22" s="71" t="s">
        <v>79</v>
      </c>
      <c r="E22" s="308" t="s">
        <v>79</v>
      </c>
      <c r="F22" s="283">
        <v>1309987</v>
      </c>
      <c r="G22" s="299">
        <f>'Wykaz przedsięwzięć'!L14</f>
        <v>15507598</v>
      </c>
      <c r="H22" s="307">
        <f>'Wykaz przedsięwzięć'!M116</f>
        <v>15927944</v>
      </c>
      <c r="I22" s="72">
        <f>'Wykaz przedsięwzięć'!N116</f>
        <v>16202718</v>
      </c>
      <c r="J22" s="72">
        <f>'Wykaz przedsięwzięć'!O116</f>
        <v>9236800</v>
      </c>
      <c r="K22" s="72">
        <f>'Wykaz przedsięwzięć'!P116</f>
        <v>3881000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621" t="s">
        <v>80</v>
      </c>
      <c r="C23" s="622"/>
      <c r="D23" s="77">
        <f>D13-D17</f>
        <v>10148488</v>
      </c>
      <c r="E23" s="291">
        <f>E13-E17</f>
        <v>9066206</v>
      </c>
      <c r="F23" s="282">
        <f aca="true" t="shared" si="1" ref="F23:Q23">F13-F17</f>
        <v>14187378</v>
      </c>
      <c r="G23" s="298">
        <f>G13-G17</f>
        <v>33303489</v>
      </c>
      <c r="H23" s="289">
        <f t="shared" si="1"/>
        <v>64846778</v>
      </c>
      <c r="I23" s="74">
        <f t="shared" si="1"/>
        <v>44904604</v>
      </c>
      <c r="J23" s="77">
        <f>J13-J17</f>
        <v>36487006</v>
      </c>
      <c r="K23" s="77">
        <f t="shared" si="1"/>
        <v>47404006</v>
      </c>
      <c r="L23" s="77">
        <f t="shared" si="1"/>
        <v>24496363</v>
      </c>
      <c r="M23" s="77">
        <f t="shared" si="1"/>
        <v>28248359</v>
      </c>
      <c r="N23" s="77">
        <f t="shared" si="1"/>
        <v>33037924</v>
      </c>
      <c r="O23" s="77">
        <f>O13-O17</f>
        <v>29962801</v>
      </c>
      <c r="P23" s="77">
        <f>P13-P17</f>
        <v>30426956</v>
      </c>
      <c r="Q23" s="77">
        <f t="shared" si="1"/>
        <v>29718750</v>
      </c>
    </row>
    <row r="24" spans="1:17" ht="39.75" customHeight="1">
      <c r="A24" s="76">
        <v>4</v>
      </c>
      <c r="B24" s="621" t="s">
        <v>81</v>
      </c>
      <c r="C24" s="622"/>
      <c r="D24" s="78">
        <v>3719761</v>
      </c>
      <c r="E24" s="291">
        <v>1245475</v>
      </c>
      <c r="F24" s="285">
        <v>427077</v>
      </c>
      <c r="G24" s="300">
        <f>G25</f>
        <v>4004678</v>
      </c>
      <c r="H24" s="291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64</v>
      </c>
      <c r="B25" s="80" t="s">
        <v>69</v>
      </c>
      <c r="C25" s="279" t="s">
        <v>82</v>
      </c>
      <c r="D25" s="70">
        <v>0</v>
      </c>
      <c r="E25" s="308"/>
      <c r="F25" s="305">
        <v>375492</v>
      </c>
      <c r="G25" s="303">
        <v>4004678</v>
      </c>
      <c r="H25" s="308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621" t="s">
        <v>83</v>
      </c>
      <c r="C26" s="622"/>
      <c r="D26" s="77">
        <v>0</v>
      </c>
      <c r="E26" s="291">
        <v>0</v>
      </c>
      <c r="F26" s="282">
        <v>0</v>
      </c>
      <c r="G26" s="298">
        <v>0</v>
      </c>
      <c r="H26" s="289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621" t="s">
        <v>84</v>
      </c>
      <c r="C27" s="622"/>
      <c r="D27" s="77">
        <f>D23+D24+D26</f>
        <v>13868249</v>
      </c>
      <c r="E27" s="291">
        <f>E23+E24+E26</f>
        <v>10311681</v>
      </c>
      <c r="F27" s="282">
        <f>F23+F24+F26</f>
        <v>14614455</v>
      </c>
      <c r="G27" s="597">
        <f>G23+G24+G26</f>
        <v>37308167</v>
      </c>
      <c r="H27" s="282">
        <f>H23+H24+H26</f>
        <v>64846778</v>
      </c>
      <c r="I27" s="74">
        <f aca="true" t="shared" si="2" ref="I27:Q27">I23+I24+I26</f>
        <v>44904604</v>
      </c>
      <c r="J27" s="77">
        <f>J23+J24+J26</f>
        <v>36487006</v>
      </c>
      <c r="K27" s="77">
        <f t="shared" si="2"/>
        <v>47404006</v>
      </c>
      <c r="L27" s="77">
        <f t="shared" si="2"/>
        <v>24496363</v>
      </c>
      <c r="M27" s="77">
        <f t="shared" si="2"/>
        <v>28248359</v>
      </c>
      <c r="N27" s="77">
        <f t="shared" si="2"/>
        <v>33037924</v>
      </c>
      <c r="O27" s="77">
        <f t="shared" si="2"/>
        <v>29962801</v>
      </c>
      <c r="P27" s="77">
        <f>P23+P24+P26</f>
        <v>30426956</v>
      </c>
      <c r="Q27" s="77">
        <f t="shared" si="2"/>
        <v>29718750</v>
      </c>
    </row>
    <row r="28" spans="1:17" ht="20.25" customHeight="1">
      <c r="A28" s="76">
        <v>7</v>
      </c>
      <c r="B28" s="621" t="s">
        <v>85</v>
      </c>
      <c r="C28" s="622"/>
      <c r="D28" s="78">
        <f>D29+D33</f>
        <v>4502192</v>
      </c>
      <c r="E28" s="291">
        <f>E29+E33</f>
        <v>9065858</v>
      </c>
      <c r="F28" s="285">
        <f aca="true" t="shared" si="3" ref="F28:Q28">F29+F33</f>
        <v>6942225</v>
      </c>
      <c r="G28" s="300">
        <f>G29+G33</f>
        <v>10311930</v>
      </c>
      <c r="H28" s="295">
        <f t="shared" si="3"/>
        <v>12165093</v>
      </c>
      <c r="I28" s="79">
        <f t="shared" si="3"/>
        <v>11584604</v>
      </c>
      <c r="J28" s="78">
        <f t="shared" si="3"/>
        <v>12816006</v>
      </c>
      <c r="K28" s="78">
        <f t="shared" si="3"/>
        <v>12459006</v>
      </c>
      <c r="L28" s="78">
        <f t="shared" si="3"/>
        <v>13073863</v>
      </c>
      <c r="M28" s="78">
        <f t="shared" si="3"/>
        <v>11615859.26</v>
      </c>
      <c r="N28" s="78">
        <f t="shared" si="3"/>
        <v>12695423.540000001</v>
      </c>
      <c r="O28" s="78">
        <f t="shared" si="3"/>
        <v>7962801.43</v>
      </c>
      <c r="P28" s="78">
        <f>P29+P33</f>
        <v>6426956.3225</v>
      </c>
      <c r="Q28" s="78">
        <f t="shared" si="3"/>
        <v>6718750</v>
      </c>
    </row>
    <row r="29" spans="1:18" s="19" customFormat="1" ht="36" customHeight="1">
      <c r="A29" s="82" t="s">
        <v>64</v>
      </c>
      <c r="B29" s="654" t="s">
        <v>86</v>
      </c>
      <c r="C29" s="642"/>
      <c r="D29" s="72">
        <v>3463314</v>
      </c>
      <c r="E29" s="308">
        <v>6940085</v>
      </c>
      <c r="F29" s="283">
        <v>4551585</v>
      </c>
      <c r="G29" s="299">
        <f>SUM(G30:G32)</f>
        <v>6935040</v>
      </c>
      <c r="H29" s="307">
        <f>SUM(H30:H32)</f>
        <v>7316899</v>
      </c>
      <c r="I29" s="72">
        <f aca="true" t="shared" si="4" ref="I29:Q29">SUM(I30:I32)</f>
        <v>7156453</v>
      </c>
      <c r="J29" s="72">
        <f t="shared" si="4"/>
        <v>8700000</v>
      </c>
      <c r="K29" s="72">
        <f t="shared" si="4"/>
        <v>8800000</v>
      </c>
      <c r="L29" s="72">
        <f t="shared" si="4"/>
        <v>9901170</v>
      </c>
      <c r="M29" s="72">
        <f t="shared" si="4"/>
        <v>9062028</v>
      </c>
      <c r="N29" s="72">
        <f t="shared" si="4"/>
        <v>10850523</v>
      </c>
      <c r="O29" s="72">
        <f t="shared" si="4"/>
        <v>6800000</v>
      </c>
      <c r="P29" s="72">
        <f>SUM(P30:P32)</f>
        <v>5723949</v>
      </c>
      <c r="Q29" s="72">
        <f t="shared" si="4"/>
        <v>6500000</v>
      </c>
      <c r="R29" s="23"/>
    </row>
    <row r="30" spans="1:18" s="19" customFormat="1" ht="19.5" customHeight="1">
      <c r="A30" s="82"/>
      <c r="B30" s="660" t="s">
        <v>69</v>
      </c>
      <c r="C30" s="280" t="s">
        <v>87</v>
      </c>
      <c r="D30" s="72">
        <v>2963314</v>
      </c>
      <c r="E30" s="308">
        <v>3340085</v>
      </c>
      <c r="F30" s="283">
        <v>2141585</v>
      </c>
      <c r="G30" s="299">
        <f>Arkusz5!J8</f>
        <v>3535040</v>
      </c>
      <c r="H30" s="307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660"/>
      <c r="C31" s="280" t="s">
        <v>88</v>
      </c>
      <c r="D31" s="72">
        <v>500000</v>
      </c>
      <c r="E31" s="308">
        <v>3600000</v>
      </c>
      <c r="F31" s="283">
        <v>410000</v>
      </c>
      <c r="G31" s="299">
        <v>400000</v>
      </c>
      <c r="H31" s="307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660"/>
      <c r="C32" s="280" t="s">
        <v>89</v>
      </c>
      <c r="D32" s="72"/>
      <c r="E32" s="308"/>
      <c r="F32" s="283">
        <v>2000000</v>
      </c>
      <c r="G32" s="299">
        <f>'spł obligacji'!J9</f>
        <v>3000000</v>
      </c>
      <c r="H32" s="307">
        <f>'spł obligacji'!J13</f>
        <v>3000000</v>
      </c>
      <c r="I32" s="72">
        <f>'spł obligacji'!J17</f>
        <v>3000000</v>
      </c>
      <c r="J32" s="72">
        <f>'spł obligacji'!J21</f>
        <v>5500000</v>
      </c>
      <c r="K32" s="72">
        <f>'spł obligacji'!J25</f>
        <v>5500000</v>
      </c>
      <c r="L32" s="72">
        <f>'spł obligacji'!J29</f>
        <v>6000000</v>
      </c>
      <c r="M32" s="72">
        <f>'spł obligacji'!J33</f>
        <v>8000000</v>
      </c>
      <c r="N32" s="72">
        <f>'spł obligacji'!J37</f>
        <v>9600000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66</v>
      </c>
      <c r="B33" s="623" t="s">
        <v>90</v>
      </c>
      <c r="C33" s="624"/>
      <c r="D33" s="71">
        <v>1038878</v>
      </c>
      <c r="E33" s="308">
        <v>2125773</v>
      </c>
      <c r="F33" s="283">
        <v>2390640</v>
      </c>
      <c r="G33" s="299">
        <f>Arkusz5!K8+'spł obligacji'!K4+940250</f>
        <v>3376890</v>
      </c>
      <c r="H33" s="306">
        <f>'spł obligacji'!K13+Arkusz5!K12+146250</f>
        <v>4848194</v>
      </c>
      <c r="I33" s="72">
        <f>'spł obligacji'!K17+Arkusz5!K16+123750</f>
        <v>4428151</v>
      </c>
      <c r="J33" s="71">
        <f>'spł obligacji'!K21+Arkusz5!K20+101250</f>
        <v>4116006.0000000005</v>
      </c>
      <c r="K33" s="71">
        <f>'spł obligacji'!K25+Arkusz5!K24+78750</f>
        <v>3659006</v>
      </c>
      <c r="L33" s="71">
        <f>'spł obligacji'!K29+Arkusz5!K28+52500</f>
        <v>3172693</v>
      </c>
      <c r="M33" s="71">
        <f>'spł obligacji'!K33+Arkusz5!K32</f>
        <v>2553831.2600000002</v>
      </c>
      <c r="N33" s="71">
        <f>'spł obligacji'!K37+Arkusz5!K36</f>
        <v>1844900.5400000005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621" t="s">
        <v>91</v>
      </c>
      <c r="C34" s="622"/>
      <c r="D34" s="77">
        <v>0</v>
      </c>
      <c r="E34" s="291">
        <v>40000</v>
      </c>
      <c r="F34" s="282">
        <v>0</v>
      </c>
      <c r="G34" s="298">
        <v>0</v>
      </c>
      <c r="H34" s="289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658" t="s">
        <v>208</v>
      </c>
      <c r="C35" s="659"/>
      <c r="D35" s="74">
        <f>D27-D28-D34</f>
        <v>9366057</v>
      </c>
      <c r="E35" s="291">
        <f aca="true" t="shared" si="5" ref="E35:Q35">E27-E28-E34</f>
        <v>1205823</v>
      </c>
      <c r="F35" s="282">
        <f t="shared" si="5"/>
        <v>7672230</v>
      </c>
      <c r="G35" s="298">
        <f t="shared" si="5"/>
        <v>26996237</v>
      </c>
      <c r="H35" s="292">
        <f t="shared" si="5"/>
        <v>52681685</v>
      </c>
      <c r="I35" s="74">
        <f t="shared" si="5"/>
        <v>33320000</v>
      </c>
      <c r="J35" s="74">
        <f t="shared" si="5"/>
        <v>23671000</v>
      </c>
      <c r="K35" s="74">
        <f t="shared" si="5"/>
        <v>34945000</v>
      </c>
      <c r="L35" s="74">
        <f t="shared" si="5"/>
        <v>11422500</v>
      </c>
      <c r="M35" s="74">
        <f t="shared" si="5"/>
        <v>16632499.74</v>
      </c>
      <c r="N35" s="74">
        <f t="shared" si="5"/>
        <v>20342500.46</v>
      </c>
      <c r="O35" s="74">
        <f t="shared" si="5"/>
        <v>21999999.57</v>
      </c>
      <c r="P35" s="74">
        <f t="shared" si="5"/>
        <v>23999999.677500002</v>
      </c>
      <c r="Q35" s="74">
        <f t="shared" si="5"/>
        <v>23000000</v>
      </c>
    </row>
    <row r="36" spans="1:17" ht="20.25" customHeight="1">
      <c r="A36" s="73">
        <v>10</v>
      </c>
      <c r="B36" s="658" t="s">
        <v>92</v>
      </c>
      <c r="C36" s="659"/>
      <c r="D36" s="74">
        <v>33260582</v>
      </c>
      <c r="E36" s="291">
        <v>9778746</v>
      </c>
      <c r="F36" s="282">
        <v>17267552</v>
      </c>
      <c r="G36" s="298">
        <v>57896237</v>
      </c>
      <c r="H36" s="292">
        <v>52681685</v>
      </c>
      <c r="I36" s="74">
        <v>33320000</v>
      </c>
      <c r="J36" s="74">
        <v>23671000</v>
      </c>
      <c r="K36" s="74">
        <f>K37</f>
        <v>34945000</v>
      </c>
      <c r="L36" s="74">
        <v>11422500</v>
      </c>
      <c r="M36" s="74">
        <f>M35</f>
        <v>16632499.74</v>
      </c>
      <c r="N36" s="74">
        <f>N35</f>
        <v>20342500.46</v>
      </c>
      <c r="O36" s="74">
        <v>22000000</v>
      </c>
      <c r="P36" s="74">
        <v>24000000</v>
      </c>
      <c r="Q36" s="74">
        <v>23000000</v>
      </c>
    </row>
    <row r="37" spans="1:17" ht="36" customHeight="1">
      <c r="A37" s="552" t="s">
        <v>64</v>
      </c>
      <c r="B37" s="553" t="s">
        <v>69</v>
      </c>
      <c r="C37" s="554" t="s">
        <v>93</v>
      </c>
      <c r="D37" s="592" t="s">
        <v>79</v>
      </c>
      <c r="E37" s="591" t="s">
        <v>79</v>
      </c>
      <c r="F37" s="555">
        <v>7674671</v>
      </c>
      <c r="G37" s="556">
        <f>'Wykaz przedsięwzięć'!L16</f>
        <v>41034556</v>
      </c>
      <c r="H37" s="586">
        <f>'Wykaz przedsięwzięć'!M16</f>
        <v>47379251</v>
      </c>
      <c r="I37" s="586">
        <f>'Wykaz przedsięwzięć'!N16</f>
        <v>33320000</v>
      </c>
      <c r="J37" s="557">
        <f>'Wykaz przedsięwzięć'!O16</f>
        <v>23671000</v>
      </c>
      <c r="K37" s="557">
        <v>34945000</v>
      </c>
      <c r="L37" s="557"/>
      <c r="M37" s="557"/>
      <c r="N37" s="557"/>
      <c r="O37" s="557"/>
      <c r="P37" s="557"/>
      <c r="Q37" s="557"/>
    </row>
    <row r="38" spans="1:17" ht="15">
      <c r="A38" s="84"/>
      <c r="B38" s="85"/>
      <c r="C38" s="86"/>
      <c r="D38" s="86"/>
      <c r="E38" s="171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30" customHeight="1">
      <c r="A39" s="84"/>
      <c r="B39" s="85"/>
      <c r="C39" s="86"/>
      <c r="D39" s="86"/>
      <c r="E39" s="171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30" customHeight="1">
      <c r="A40" s="84"/>
      <c r="B40" s="85"/>
      <c r="C40" s="86"/>
      <c r="D40" s="86"/>
      <c r="E40" s="171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37.5" customHeight="1">
      <c r="A41" s="84"/>
      <c r="B41" s="85"/>
      <c r="C41" s="86"/>
      <c r="D41" s="86"/>
      <c r="E41" s="17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38.25" customHeight="1">
      <c r="A42" s="84"/>
      <c r="B42" s="85"/>
      <c r="C42" s="86"/>
      <c r="D42" s="86"/>
      <c r="E42" s="171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7" customHeight="1">
      <c r="A43" s="84"/>
      <c r="B43" s="85"/>
      <c r="C43" s="86"/>
      <c r="D43" s="86"/>
      <c r="E43" s="171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8.5" customHeight="1">
      <c r="A44" s="84"/>
      <c r="B44" s="85"/>
      <c r="C44" s="86"/>
      <c r="D44" s="86"/>
      <c r="E44" s="171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15">
      <c r="A45" s="84"/>
      <c r="B45" s="85"/>
      <c r="C45" s="86"/>
      <c r="D45" s="86"/>
      <c r="E45" s="171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18" customHeight="1">
      <c r="A46" s="84"/>
      <c r="B46" s="85"/>
      <c r="C46" s="86"/>
      <c r="D46" s="86"/>
      <c r="E46" s="171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6.75" customHeight="1" thickBot="1">
      <c r="A47" s="84"/>
      <c r="B47" s="85"/>
      <c r="C47" s="86"/>
      <c r="D47" s="86"/>
      <c r="E47" s="171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17.25" customHeight="1" thickBot="1">
      <c r="A48" s="634" t="s">
        <v>60</v>
      </c>
      <c r="B48" s="648" t="s">
        <v>61</v>
      </c>
      <c r="C48" s="648"/>
      <c r="D48" s="583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6"/>
    </row>
    <row r="49" spans="1:17" ht="17.25" customHeight="1" thickBot="1">
      <c r="A49" s="634"/>
      <c r="B49" s="648"/>
      <c r="C49" s="648"/>
      <c r="D49" s="609" t="s">
        <v>443</v>
      </c>
      <c r="E49" s="610"/>
      <c r="F49" s="611"/>
      <c r="G49" s="637" t="s">
        <v>62</v>
      </c>
      <c r="H49" s="638"/>
      <c r="I49" s="638"/>
      <c r="J49" s="638"/>
      <c r="K49" s="638"/>
      <c r="L49" s="638"/>
      <c r="M49" s="638"/>
      <c r="N49" s="638"/>
      <c r="O49" s="638"/>
      <c r="P49" s="638"/>
      <c r="Q49" s="639"/>
    </row>
    <row r="50" spans="1:17" ht="13.5" customHeight="1" thickBot="1">
      <c r="A50" s="634"/>
      <c r="B50" s="648"/>
      <c r="C50" s="649"/>
      <c r="D50" s="653">
        <v>2009</v>
      </c>
      <c r="E50" s="616">
        <v>2010</v>
      </c>
      <c r="F50" s="625">
        <v>2011</v>
      </c>
      <c r="G50" s="627">
        <v>2012</v>
      </c>
      <c r="H50" s="647">
        <v>2013</v>
      </c>
      <c r="I50" s="620">
        <v>2014</v>
      </c>
      <c r="J50" s="620">
        <v>2015</v>
      </c>
      <c r="K50" s="620">
        <v>2016</v>
      </c>
      <c r="L50" s="620">
        <v>2017</v>
      </c>
      <c r="M50" s="620">
        <v>2018</v>
      </c>
      <c r="N50" s="620">
        <v>2019</v>
      </c>
      <c r="O50" s="620">
        <v>2020</v>
      </c>
      <c r="P50" s="620">
        <v>2021</v>
      </c>
      <c r="Q50" s="620">
        <v>2022</v>
      </c>
    </row>
    <row r="51" spans="1:17" ht="24.75" customHeight="1" thickBot="1">
      <c r="A51" s="634"/>
      <c r="B51" s="648"/>
      <c r="C51" s="649"/>
      <c r="D51" s="653"/>
      <c r="E51" s="616"/>
      <c r="F51" s="626"/>
      <c r="G51" s="627"/>
      <c r="H51" s="647"/>
      <c r="I51" s="620"/>
      <c r="J51" s="620"/>
      <c r="K51" s="620"/>
      <c r="L51" s="620"/>
      <c r="M51" s="620"/>
      <c r="N51" s="620"/>
      <c r="O51" s="620"/>
      <c r="P51" s="620"/>
      <c r="Q51" s="620"/>
    </row>
    <row r="52" spans="1:17" ht="27" customHeight="1">
      <c r="A52" s="76">
        <v>11</v>
      </c>
      <c r="B52" s="621" t="s">
        <v>94</v>
      </c>
      <c r="C52" s="622"/>
      <c r="D52" s="77">
        <v>25140000</v>
      </c>
      <c r="E52" s="79">
        <v>9000000</v>
      </c>
      <c r="F52" s="282">
        <f>SUM(F53:F56)</f>
        <v>13600000</v>
      </c>
      <c r="G52" s="298">
        <f>SUM(G53:G56)</f>
        <v>30900000</v>
      </c>
      <c r="H52" s="289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8"/>
      <c r="B53" s="655" t="s">
        <v>69</v>
      </c>
      <c r="C53" s="280" t="s">
        <v>87</v>
      </c>
      <c r="D53" s="71">
        <v>6330000</v>
      </c>
      <c r="E53" s="72"/>
      <c r="F53" s="283">
        <v>2100000</v>
      </c>
      <c r="G53" s="299"/>
      <c r="H53" s="289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6"/>
      <c r="B54" s="656"/>
      <c r="C54" s="280" t="s">
        <v>88</v>
      </c>
      <c r="D54" s="71">
        <v>4810000</v>
      </c>
      <c r="E54" s="72"/>
      <c r="F54" s="283">
        <v>0</v>
      </c>
      <c r="G54" s="299">
        <v>10000000</v>
      </c>
      <c r="H54" s="289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6"/>
      <c r="B55" s="656"/>
      <c r="C55" s="280" t="s">
        <v>209</v>
      </c>
      <c r="D55" s="71">
        <v>14000000</v>
      </c>
      <c r="E55" s="72">
        <v>9000000</v>
      </c>
      <c r="F55" s="283">
        <v>7000000</v>
      </c>
      <c r="G55" s="299">
        <v>14000000</v>
      </c>
      <c r="H55" s="289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6"/>
      <c r="B56" s="657"/>
      <c r="C56" s="280" t="s">
        <v>210</v>
      </c>
      <c r="D56" s="71"/>
      <c r="E56" s="72"/>
      <c r="F56" s="283">
        <v>4500000</v>
      </c>
      <c r="G56" s="299">
        <v>6900000</v>
      </c>
      <c r="H56" s="289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64</v>
      </c>
      <c r="B57" s="644" t="s">
        <v>96</v>
      </c>
      <c r="C57" s="650"/>
      <c r="D57" s="71">
        <v>3719761</v>
      </c>
      <c r="E57" s="72">
        <v>1245475</v>
      </c>
      <c r="F57" s="283">
        <v>427077</v>
      </c>
      <c r="G57" s="299">
        <v>4004678</v>
      </c>
      <c r="H57" s="289"/>
      <c r="I57" s="74"/>
      <c r="J57" s="77"/>
      <c r="K57" s="77"/>
      <c r="L57" s="77"/>
      <c r="M57" s="77"/>
      <c r="N57" s="77"/>
      <c r="O57" s="77"/>
      <c r="P57" s="77"/>
      <c r="Q57" s="77"/>
      <c r="R57" s="322"/>
    </row>
    <row r="58" spans="1:18" ht="21" customHeight="1">
      <c r="A58" s="76" t="s">
        <v>66</v>
      </c>
      <c r="B58" s="644" t="s">
        <v>97</v>
      </c>
      <c r="C58" s="650"/>
      <c r="D58" s="71"/>
      <c r="E58" s="72"/>
      <c r="F58" s="283"/>
      <c r="G58" s="299"/>
      <c r="H58" s="289"/>
      <c r="I58" s="74"/>
      <c r="J58" s="77"/>
      <c r="K58" s="77"/>
      <c r="L58" s="77"/>
      <c r="M58" s="77"/>
      <c r="N58" s="77"/>
      <c r="O58" s="77"/>
      <c r="P58" s="77"/>
      <c r="Q58" s="77"/>
      <c r="R58" s="322"/>
    </row>
    <row r="59" spans="1:18" ht="29.25" customHeight="1">
      <c r="A59" s="89">
        <v>12</v>
      </c>
      <c r="B59" s="632" t="s">
        <v>98</v>
      </c>
      <c r="C59" s="633"/>
      <c r="D59" s="593">
        <f>D35-D36+D52</f>
        <v>1245475</v>
      </c>
      <c r="E59" s="168">
        <f aca="true" t="shared" si="6" ref="E59:Q59">E35-E36+E52</f>
        <v>427077</v>
      </c>
      <c r="F59" s="284">
        <f t="shared" si="6"/>
        <v>4004678</v>
      </c>
      <c r="G59" s="559">
        <f t="shared" si="6"/>
        <v>0</v>
      </c>
      <c r="H59" s="290">
        <f t="shared" si="6"/>
        <v>0</v>
      </c>
      <c r="I59" s="90">
        <f t="shared" si="6"/>
        <v>0</v>
      </c>
      <c r="J59" s="90">
        <f>J35-J36+J52</f>
        <v>0</v>
      </c>
      <c r="K59" s="90">
        <f t="shared" si="6"/>
        <v>0</v>
      </c>
      <c r="L59" s="90">
        <f t="shared" si="6"/>
        <v>0</v>
      </c>
      <c r="M59" s="90">
        <f>M35-M36+M52</f>
        <v>0</v>
      </c>
      <c r="N59" s="90">
        <f t="shared" si="6"/>
        <v>0</v>
      </c>
      <c r="O59" s="90">
        <f t="shared" si="6"/>
        <v>-0.4299999997019768</v>
      </c>
      <c r="P59" s="90">
        <f t="shared" si="6"/>
        <v>-0.32249999791383743</v>
      </c>
      <c r="Q59" s="90">
        <f t="shared" si="6"/>
        <v>0</v>
      </c>
      <c r="R59" s="323"/>
    </row>
    <row r="60" spans="1:18" ht="22.5" customHeight="1">
      <c r="A60" s="91">
        <v>13</v>
      </c>
      <c r="B60" s="651" t="s">
        <v>99</v>
      </c>
      <c r="C60" s="652"/>
      <c r="D60" s="78">
        <f>'[1]Prognoza długu'!C10</f>
        <v>45737732</v>
      </c>
      <c r="E60" s="79">
        <f>'Prognoza długu'!D10</f>
        <v>47797647</v>
      </c>
      <c r="F60" s="285">
        <f>'Prognoza długu'!E10</f>
        <v>56846062</v>
      </c>
      <c r="G60" s="300">
        <f>'Prognoza długu'!F10</f>
        <v>80811022</v>
      </c>
      <c r="H60" s="291">
        <f>'Prognoza długu'!G10</f>
        <v>73494123</v>
      </c>
      <c r="I60" s="79">
        <f>'Prognoza długu'!H10</f>
        <v>66337670</v>
      </c>
      <c r="J60" s="79">
        <f>'Prognoza długu'!I10</f>
        <v>57637670</v>
      </c>
      <c r="K60" s="78">
        <f>'Prognoza długu'!J10</f>
        <v>48837670</v>
      </c>
      <c r="L60" s="78">
        <f>'Prognoza długu'!K10</f>
        <v>38936500</v>
      </c>
      <c r="M60" s="78">
        <f>'Prognoza długu'!L10</f>
        <v>29874472</v>
      </c>
      <c r="N60" s="78">
        <f>'Prognoza długu'!M10</f>
        <v>19023949</v>
      </c>
      <c r="O60" s="78">
        <f>'Prognoza długu'!N10</f>
        <v>12223949</v>
      </c>
      <c r="P60" s="78">
        <f>'Prognoza długu'!O10</f>
        <v>6500000</v>
      </c>
      <c r="Q60" s="78">
        <f>'Prognoza długu'!P10</f>
        <v>0</v>
      </c>
      <c r="R60" s="324"/>
    </row>
    <row r="61" spans="1:18" ht="65.25" customHeight="1">
      <c r="A61" s="630"/>
      <c r="B61" s="631" t="s">
        <v>69</v>
      </c>
      <c r="C61" s="278" t="s">
        <v>100</v>
      </c>
      <c r="D61" s="77">
        <v>0</v>
      </c>
      <c r="E61" s="74">
        <v>0</v>
      </c>
      <c r="F61" s="580">
        <v>2100000</v>
      </c>
      <c r="G61" s="580">
        <v>2050000</v>
      </c>
      <c r="H61" s="580"/>
      <c r="I61" s="71"/>
      <c r="J61" s="71"/>
      <c r="K61" s="71"/>
      <c r="L61" s="71"/>
      <c r="M61" s="71"/>
      <c r="N61" s="71"/>
      <c r="O61" s="71"/>
      <c r="P61" s="71"/>
      <c r="Q61" s="74"/>
      <c r="R61" s="322"/>
    </row>
    <row r="62" spans="1:17" ht="87.75" customHeight="1">
      <c r="A62" s="630"/>
      <c r="B62" s="631"/>
      <c r="C62" s="278" t="s">
        <v>223</v>
      </c>
      <c r="D62" s="77">
        <v>0</v>
      </c>
      <c r="E62" s="74">
        <v>0</v>
      </c>
      <c r="F62" s="580">
        <v>0</v>
      </c>
      <c r="G62" s="580">
        <v>50000</v>
      </c>
      <c r="H62" s="580"/>
      <c r="I62" s="71"/>
      <c r="J62" s="71"/>
      <c r="K62" s="71"/>
      <c r="L62" s="71"/>
      <c r="M62" s="71"/>
      <c r="N62" s="71"/>
      <c r="O62" s="71"/>
      <c r="P62" s="71"/>
      <c r="Q62" s="74"/>
    </row>
    <row r="63" spans="1:17" ht="66" customHeight="1">
      <c r="A63" s="91">
        <v>14</v>
      </c>
      <c r="B63" s="628" t="s">
        <v>101</v>
      </c>
      <c r="C63" s="629"/>
      <c r="D63" s="77">
        <v>0</v>
      </c>
      <c r="E63" s="74">
        <v>0</v>
      </c>
      <c r="F63" s="282">
        <v>0</v>
      </c>
      <c r="G63" s="298">
        <v>0</v>
      </c>
      <c r="H63" s="292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1">
        <v>15</v>
      </c>
      <c r="B64" s="628" t="s">
        <v>212</v>
      </c>
      <c r="C64" s="629"/>
      <c r="D64" s="92">
        <f>D28/D13*100</f>
        <v>5.510659630018439</v>
      </c>
      <c r="E64" s="169">
        <f>E28/E13*100</f>
        <v>10.653694792951553</v>
      </c>
      <c r="F64" s="169">
        <f>F28/F13*100</f>
        <v>6.477032056994767</v>
      </c>
      <c r="G64" s="318">
        <v>6.41</v>
      </c>
      <c r="H64" s="169">
        <f>H28/H13*100</f>
        <v>6.948784632871982</v>
      </c>
      <c r="I64" s="169"/>
      <c r="J64" s="169"/>
      <c r="K64" s="92"/>
      <c r="L64" s="92"/>
      <c r="M64" s="92"/>
      <c r="N64" s="92"/>
      <c r="O64" s="92"/>
      <c r="P64" s="92"/>
      <c r="Q64" s="92"/>
    </row>
    <row r="65" spans="1:17" ht="39" customHeight="1">
      <c r="A65" s="91">
        <v>16</v>
      </c>
      <c r="B65" s="628" t="s">
        <v>211</v>
      </c>
      <c r="C65" s="629"/>
      <c r="D65" s="92">
        <f>D60/D13*100</f>
        <v>55.98274647127499</v>
      </c>
      <c r="E65" s="169">
        <f>E60/E13*100</f>
        <v>56.16915056018266</v>
      </c>
      <c r="F65" s="286">
        <f>F60/F13*100</f>
        <v>53.03685286603531</v>
      </c>
      <c r="G65" s="301">
        <v>50.24</v>
      </c>
      <c r="H65" s="293">
        <f>H60/H13*100</f>
        <v>41.980347582119045</v>
      </c>
      <c r="I65" s="169"/>
      <c r="J65" s="169"/>
      <c r="K65" s="92"/>
      <c r="L65" s="92"/>
      <c r="M65" s="92"/>
      <c r="N65" s="92"/>
      <c r="O65" s="92"/>
      <c r="P65" s="92"/>
      <c r="Q65" s="92"/>
    </row>
    <row r="66" spans="1:17" ht="66.75" customHeight="1">
      <c r="A66" s="93">
        <v>17</v>
      </c>
      <c r="B66" s="628" t="s">
        <v>102</v>
      </c>
      <c r="C66" s="629"/>
      <c r="D66" s="276" t="s">
        <v>68</v>
      </c>
      <c r="E66" s="170">
        <v>0.1911</v>
      </c>
      <c r="F66" s="287">
        <v>0.1292</v>
      </c>
      <c r="G66" s="581">
        <v>0.0951</v>
      </c>
      <c r="H66" s="170">
        <v>0.17</v>
      </c>
      <c r="I66" s="170">
        <v>0.2536</v>
      </c>
      <c r="J66" s="170">
        <v>0.2774</v>
      </c>
      <c r="K66" s="276">
        <f>1/3*((H14+H16-'Prognoza długu'!G25)/WPF!H13+(WPF!I14+WPF!I16-'Prognoza długu'!H25)/WPF!I13+(WPF!J14+WPF!J16-'Prognoza długu'!I25)/WPF!J13)</f>
        <v>0.24549511560722603</v>
      </c>
      <c r="L66" s="276">
        <f>1/3*((I14+I16-'Prognoza długu'!H25)/WPF!I13+(WPF!J14+WPF!J16-'Prognoza długu'!I25)/WPF!J13+(WPF!K14+WPF!K16-'Prognoza długu'!J25)/WPF!K13)</f>
        <v>0.20877556286030985</v>
      </c>
      <c r="M66" s="276">
        <f>1/3*((J14+J16-'Prognoza długu'!I25)/WPF!J13+(WPF!K14+WPF!K16-'Prognoza długu'!J25)/WPF!K13+(WPF!L14+WPF!L16-'Prognoza długu'!K25)/WPF!L13)</f>
        <v>0.2035207326812698</v>
      </c>
      <c r="N66" s="276">
        <f>1/3*((K14+K16-'Prognoza długu'!J25)/WPF!K13+(WPF!L14+WPF!L16-'Prognoza długu'!K25)/WPF!L13+(WPF!M14+WPF!M16-'Prognoza długu'!L25)/WPF!M13)</f>
        <v>0.1901678684514665</v>
      </c>
      <c r="O66" s="276">
        <f>1/3*((L14+L16-'Prognoza długu'!K25)/WPF!L13+(WPF!M14+WPF!M16-'Prognoza długu'!L25)/WPF!M13+(WPF!N14+WPF!N16-'Prognoza długu'!M25)/WPF!N13)</f>
        <v>0.19196927950582476</v>
      </c>
      <c r="P66" s="276">
        <f>1/3*((M14+M16-'Prognoza długu'!L25)/WPF!M13+(WPF!N14+WPF!N16-'Prognoza długu'!M25)/WPF!N13+(WPF!O14+WPF!O16-'Prognoza długu'!N25)/WPF!O13)</f>
        <v>0.20551150559938924</v>
      </c>
      <c r="Q66" s="276">
        <f>1/3*((N14+N16-'Prognoza długu'!M25)/WPF!N13+(WPF!O14+WPF!O16-'Prognoza długu'!N25)/WPF!O13+(WPF!P14+WPF!P16-'Prognoza długu'!O25)/WPF!P13)</f>
        <v>0.2116025508841768</v>
      </c>
    </row>
    <row r="67" spans="1:17" ht="33.75" customHeight="1">
      <c r="A67" s="93">
        <v>18</v>
      </c>
      <c r="B67" s="628" t="s">
        <v>103</v>
      </c>
      <c r="C67" s="629"/>
      <c r="D67" s="94">
        <f>D28/D13</f>
        <v>0.055106596300184385</v>
      </c>
      <c r="E67" s="170">
        <f aca="true" t="shared" si="7" ref="E67:O67">E28/E13</f>
        <v>0.10653694792951553</v>
      </c>
      <c r="F67" s="287">
        <f t="shared" si="7"/>
        <v>0.06477032056994766</v>
      </c>
      <c r="G67" s="302">
        <v>0.0641</v>
      </c>
      <c r="H67" s="294">
        <v>0.0695</v>
      </c>
      <c r="I67" s="170">
        <f t="shared" si="7"/>
        <v>0.07919611060177456</v>
      </c>
      <c r="J67" s="170">
        <f>J28/J13</f>
        <v>0.0924411053204332</v>
      </c>
      <c r="K67" s="94">
        <f t="shared" si="7"/>
        <v>0.0822668884748364</v>
      </c>
      <c r="L67" s="94">
        <f t="shared" si="7"/>
        <v>0.10067604278417809</v>
      </c>
      <c r="M67" s="94">
        <f t="shared" si="7"/>
        <v>0.08593227494450306</v>
      </c>
      <c r="N67" s="94">
        <f t="shared" si="7"/>
        <v>0.09019822699292285</v>
      </c>
      <c r="O67" s="94">
        <f t="shared" si="7"/>
        <v>0.05663289337967868</v>
      </c>
      <c r="P67" s="94">
        <f>P28/P13</f>
        <v>0.045051293615645756</v>
      </c>
      <c r="Q67" s="94">
        <f>Q28/Q13</f>
        <v>0.04644577568454852</v>
      </c>
    </row>
    <row r="68" spans="1:17" ht="38.25" customHeight="1">
      <c r="A68" s="93">
        <v>19</v>
      </c>
      <c r="B68" s="628" t="s">
        <v>104</v>
      </c>
      <c r="C68" s="629"/>
      <c r="D68" s="276" t="s">
        <v>68</v>
      </c>
      <c r="E68" s="170">
        <f>E66-E67</f>
        <v>0.08456305207048447</v>
      </c>
      <c r="F68" s="287">
        <f aca="true" t="shared" si="8" ref="F68:O68">F66-F67</f>
        <v>0.06442967943005234</v>
      </c>
      <c r="G68" s="302">
        <f t="shared" si="8"/>
        <v>0.031</v>
      </c>
      <c r="H68" s="294">
        <f t="shared" si="8"/>
        <v>0.1005</v>
      </c>
      <c r="I68" s="170">
        <f>I66-I67</f>
        <v>0.17440388939822543</v>
      </c>
      <c r="J68" s="170">
        <f t="shared" si="8"/>
        <v>0.18495889467956678</v>
      </c>
      <c r="K68" s="170">
        <f t="shared" si="8"/>
        <v>0.16322822713238963</v>
      </c>
      <c r="L68" s="170">
        <f t="shared" si="8"/>
        <v>0.10809952007613176</v>
      </c>
      <c r="M68" s="170">
        <f t="shared" si="8"/>
        <v>0.11758845773676674</v>
      </c>
      <c r="N68" s="170">
        <f t="shared" si="8"/>
        <v>0.09996964145854365</v>
      </c>
      <c r="O68" s="170">
        <f t="shared" si="8"/>
        <v>0.13533638612614607</v>
      </c>
      <c r="P68" s="170">
        <f>P66-P67</f>
        <v>0.1604602119837435</v>
      </c>
      <c r="Q68" s="170">
        <f>Q66-Q67</f>
        <v>0.16515677519962826</v>
      </c>
    </row>
    <row r="69" spans="1:17" ht="16.5" customHeight="1">
      <c r="A69" s="93">
        <v>20</v>
      </c>
      <c r="B69" s="628" t="s">
        <v>105</v>
      </c>
      <c r="C69" s="629"/>
      <c r="D69" s="409">
        <f>'[1]Prognoza długu'!C24</f>
        <v>105850665</v>
      </c>
      <c r="E69" s="78">
        <f>'Prognoza długu'!D24</f>
        <v>87934218</v>
      </c>
      <c r="F69" s="285">
        <f>'Prognoza długu'!E24</f>
        <v>112653007</v>
      </c>
      <c r="G69" s="300">
        <f>'Prognoza długu'!F24</f>
        <v>163490230</v>
      </c>
      <c r="H69" s="295">
        <f>'Prognoza długu'!G24</f>
        <v>167751025</v>
      </c>
      <c r="I69" s="78">
        <f>'Prognoza długu'!H24</f>
        <v>139120983</v>
      </c>
      <c r="J69" s="78">
        <f>'Prognoza długu'!I24</f>
        <v>129939688</v>
      </c>
      <c r="K69" s="78">
        <f>'Prognoza długu'!J24</f>
        <v>142646180</v>
      </c>
      <c r="L69" s="78">
        <f>'Prognoza długu'!K24</f>
        <v>119959546</v>
      </c>
      <c r="M69" s="78">
        <f>'Prognoza długu'!L24</f>
        <v>126112553</v>
      </c>
      <c r="N69" s="78">
        <f>'Prognoza długu'!M24</f>
        <v>129899733</v>
      </c>
      <c r="O69" s="78">
        <f>'Prognoza długu'!N24</f>
        <v>133803825.43</v>
      </c>
      <c r="P69" s="78">
        <f>'Prognoza długu'!O24</f>
        <v>136934692.3225</v>
      </c>
      <c r="Q69" s="78">
        <f>'Prognoza długu'!P24</f>
        <v>138157935</v>
      </c>
    </row>
    <row r="70" spans="1:17" ht="16.5" customHeight="1">
      <c r="A70" s="93">
        <v>21</v>
      </c>
      <c r="B70" s="628" t="s">
        <v>106</v>
      </c>
      <c r="C70" s="629"/>
      <c r="D70" s="78">
        <f>'[1]Prognoza długu'!C25</f>
        <v>72590083</v>
      </c>
      <c r="E70" s="78">
        <f>'Prognoza długu'!D25</f>
        <v>78155472</v>
      </c>
      <c r="F70" s="285">
        <f>'Prognoza długu'!E25</f>
        <v>95385455</v>
      </c>
      <c r="G70" s="300">
        <f>'Prognoza długu'!F25</f>
        <v>105593993</v>
      </c>
      <c r="H70" s="295">
        <f>'Prognoza długu'!G25</f>
        <v>115069340</v>
      </c>
      <c r="I70" s="78">
        <f>'Prognoza długu'!H25</f>
        <v>105800983</v>
      </c>
      <c r="J70" s="78">
        <f>'Prognoza długu'!I25</f>
        <v>106268688</v>
      </c>
      <c r="K70" s="78">
        <f>'Prognoza długu'!J25</f>
        <v>107701180</v>
      </c>
      <c r="L70" s="78">
        <f>'Prognoza długu'!K25</f>
        <v>108537046</v>
      </c>
      <c r="M70" s="78">
        <f>'Prognoza długu'!L25</f>
        <v>109480053.26</v>
      </c>
      <c r="N70" s="78">
        <f>'Prognoza długu'!M25</f>
        <v>109557232.54</v>
      </c>
      <c r="O70" s="78">
        <f>'Prognoza długu'!N25</f>
        <v>111803825.43</v>
      </c>
      <c r="P70" s="78">
        <f>'Prognoza długu'!O25</f>
        <v>112934692.3225</v>
      </c>
      <c r="Q70" s="78">
        <f>'Prognoza długu'!P25</f>
        <v>115157935</v>
      </c>
    </row>
    <row r="71" spans="1:17" ht="35.25" customHeight="1">
      <c r="A71" s="93">
        <v>22</v>
      </c>
      <c r="B71" s="628" t="s">
        <v>135</v>
      </c>
      <c r="C71" s="629"/>
      <c r="D71" s="78">
        <f>D13-D69</f>
        <v>-24150972</v>
      </c>
      <c r="E71" s="78">
        <f aca="true" t="shared" si="9" ref="E71:N71">E13-E69</f>
        <v>-2838313</v>
      </c>
      <c r="F71" s="285">
        <f t="shared" si="9"/>
        <v>-5470814</v>
      </c>
      <c r="G71" s="300">
        <f>G13-G69</f>
        <v>-27969638</v>
      </c>
      <c r="H71" s="295">
        <f t="shared" si="9"/>
        <v>7316899</v>
      </c>
      <c r="I71" s="78">
        <f t="shared" si="9"/>
        <v>7156453</v>
      </c>
      <c r="J71" s="78">
        <f t="shared" si="9"/>
        <v>8700000</v>
      </c>
      <c r="K71" s="78">
        <f t="shared" si="9"/>
        <v>8800000</v>
      </c>
      <c r="L71" s="78">
        <f t="shared" si="9"/>
        <v>9901170</v>
      </c>
      <c r="M71" s="78">
        <f t="shared" si="9"/>
        <v>9062028</v>
      </c>
      <c r="N71" s="78">
        <f t="shared" si="9"/>
        <v>10850523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1">
        <v>23</v>
      </c>
      <c r="B72" s="622" t="s">
        <v>204</v>
      </c>
      <c r="C72" s="643"/>
      <c r="D72" s="77">
        <f>SUM(D73:D77)</f>
        <v>24150972</v>
      </c>
      <c r="E72" s="77">
        <f>SUM(E73:E77)</f>
        <v>2838313</v>
      </c>
      <c r="F72" s="282">
        <f>SUM(F73:F77)</f>
        <v>5470814</v>
      </c>
      <c r="G72" s="298">
        <f>SUM(G73:G77)</f>
        <v>27969638</v>
      </c>
      <c r="H72" s="295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5" t="s">
        <v>64</v>
      </c>
      <c r="B73" s="642" t="s">
        <v>87</v>
      </c>
      <c r="C73" s="643"/>
      <c r="D73" s="71">
        <v>6330000</v>
      </c>
      <c r="E73" s="71"/>
      <c r="F73" s="283"/>
      <c r="G73" s="300"/>
      <c r="H73" s="295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5" t="s">
        <v>66</v>
      </c>
      <c r="B74" s="642" t="s">
        <v>88</v>
      </c>
      <c r="C74" s="643"/>
      <c r="D74" s="71">
        <v>4810000</v>
      </c>
      <c r="E74" s="71"/>
      <c r="F74" s="283"/>
      <c r="G74" s="300">
        <v>10000000</v>
      </c>
      <c r="H74" s="295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5" t="s">
        <v>74</v>
      </c>
      <c r="B75" s="642" t="s">
        <v>202</v>
      </c>
      <c r="C75" s="643"/>
      <c r="D75" s="71"/>
      <c r="E75" s="71"/>
      <c r="F75" s="283"/>
      <c r="G75" s="300"/>
      <c r="H75" s="295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5" t="s">
        <v>77</v>
      </c>
      <c r="B76" s="644" t="s">
        <v>96</v>
      </c>
      <c r="C76" s="643"/>
      <c r="D76" s="71"/>
      <c r="E76" s="71"/>
      <c r="F76" s="283"/>
      <c r="G76" s="300">
        <v>3969638</v>
      </c>
      <c r="H76" s="295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5" t="s">
        <v>137</v>
      </c>
      <c r="B77" s="645" t="s">
        <v>207</v>
      </c>
      <c r="C77" s="646"/>
      <c r="D77" s="71">
        <v>13010972</v>
      </c>
      <c r="E77" s="71">
        <v>2838313</v>
      </c>
      <c r="F77" s="283">
        <v>5470814</v>
      </c>
      <c r="G77" s="300">
        <v>14000000</v>
      </c>
      <c r="H77" s="295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1">
        <v>24</v>
      </c>
      <c r="B78" s="622" t="s">
        <v>205</v>
      </c>
      <c r="C78" s="643"/>
      <c r="D78" s="77"/>
      <c r="E78" s="77"/>
      <c r="F78" s="282"/>
      <c r="G78" s="300"/>
      <c r="H78" s="295">
        <f aca="true" t="shared" si="10" ref="H78:O78">SUM(H79:H81)</f>
        <v>7316899</v>
      </c>
      <c r="I78" s="78">
        <f t="shared" si="10"/>
        <v>7156453</v>
      </c>
      <c r="J78" s="78">
        <f t="shared" si="10"/>
        <v>8700000</v>
      </c>
      <c r="K78" s="78">
        <f t="shared" si="10"/>
        <v>8800000</v>
      </c>
      <c r="L78" s="78">
        <f t="shared" si="10"/>
        <v>9901170</v>
      </c>
      <c r="M78" s="78">
        <f t="shared" si="10"/>
        <v>9062028</v>
      </c>
      <c r="N78" s="78">
        <f t="shared" si="10"/>
        <v>10850523</v>
      </c>
      <c r="O78" s="78">
        <f t="shared" si="10"/>
        <v>6800000</v>
      </c>
      <c r="P78" s="78">
        <f>SUM(P79:P81)</f>
        <v>5723949</v>
      </c>
      <c r="Q78" s="78">
        <f>SUM(Q79:Q81)</f>
        <v>6500000</v>
      </c>
      <c r="R78" s="275"/>
    </row>
    <row r="79" spans="1:18" ht="15" customHeight="1">
      <c r="A79" s="96" t="s">
        <v>64</v>
      </c>
      <c r="B79" s="642" t="s">
        <v>201</v>
      </c>
      <c r="C79" s="643"/>
      <c r="D79" s="72"/>
      <c r="E79" s="97"/>
      <c r="F79" s="283"/>
      <c r="G79" s="303"/>
      <c r="H79" s="296">
        <f>H30</f>
        <v>3666899</v>
      </c>
      <c r="I79" s="70">
        <f aca="true" t="shared" si="11" ref="I79:O79">I30</f>
        <v>3506453</v>
      </c>
      <c r="J79" s="70">
        <f t="shared" si="11"/>
        <v>2550000</v>
      </c>
      <c r="K79" s="70">
        <f t="shared" si="11"/>
        <v>2550000</v>
      </c>
      <c r="L79" s="70">
        <f t="shared" si="11"/>
        <v>2401170</v>
      </c>
      <c r="M79" s="70">
        <f t="shared" si="11"/>
        <v>62028</v>
      </c>
      <c r="N79" s="70">
        <f t="shared" si="11"/>
        <v>750523</v>
      </c>
      <c r="O79" s="70">
        <f t="shared" si="11"/>
        <v>600000</v>
      </c>
      <c r="P79" s="70">
        <f aca="true" t="shared" si="12" ref="P79:Q81">P30</f>
        <v>423949</v>
      </c>
      <c r="Q79" s="70">
        <f t="shared" si="12"/>
        <v>0</v>
      </c>
      <c r="R79" s="28"/>
    </row>
    <row r="80" spans="1:17" ht="15" customHeight="1">
      <c r="A80" s="96" t="s">
        <v>66</v>
      </c>
      <c r="B80" s="642" t="s">
        <v>206</v>
      </c>
      <c r="C80" s="643"/>
      <c r="D80" s="72"/>
      <c r="E80" s="97"/>
      <c r="F80" s="283"/>
      <c r="G80" s="303"/>
      <c r="H80" s="296">
        <f>H31</f>
        <v>650000</v>
      </c>
      <c r="I80" s="70">
        <f aca="true" t="shared" si="13" ref="I80:O80">I31</f>
        <v>650000</v>
      </c>
      <c r="J80" s="70">
        <f t="shared" si="13"/>
        <v>650000</v>
      </c>
      <c r="K80" s="70">
        <f t="shared" si="13"/>
        <v>750000</v>
      </c>
      <c r="L80" s="70">
        <f t="shared" si="13"/>
        <v>1500000</v>
      </c>
      <c r="M80" s="70">
        <f t="shared" si="13"/>
        <v>1000000</v>
      </c>
      <c r="N80" s="70">
        <f t="shared" si="13"/>
        <v>500000</v>
      </c>
      <c r="O80" s="70">
        <f t="shared" si="13"/>
        <v>500000</v>
      </c>
      <c r="P80" s="70">
        <f t="shared" si="12"/>
        <v>1200000</v>
      </c>
      <c r="Q80" s="70">
        <f t="shared" si="12"/>
        <v>6500000</v>
      </c>
    </row>
    <row r="81" spans="1:17" ht="15" customHeight="1">
      <c r="A81" s="96" t="s">
        <v>74</v>
      </c>
      <c r="B81" s="642" t="s">
        <v>89</v>
      </c>
      <c r="C81" s="643"/>
      <c r="D81" s="72"/>
      <c r="E81" s="97"/>
      <c r="F81" s="283"/>
      <c r="G81" s="303"/>
      <c r="H81" s="296">
        <f>H32</f>
        <v>3000000</v>
      </c>
      <c r="I81" s="70">
        <f aca="true" t="shared" si="14" ref="I81:O81">I32</f>
        <v>3000000</v>
      </c>
      <c r="J81" s="70">
        <f t="shared" si="14"/>
        <v>5500000</v>
      </c>
      <c r="K81" s="70">
        <f t="shared" si="14"/>
        <v>5500000</v>
      </c>
      <c r="L81" s="70">
        <f t="shared" si="14"/>
        <v>6000000</v>
      </c>
      <c r="M81" s="70">
        <f t="shared" si="14"/>
        <v>8000000</v>
      </c>
      <c r="N81" s="70">
        <f t="shared" si="14"/>
        <v>9600000</v>
      </c>
      <c r="O81" s="70">
        <f t="shared" si="14"/>
        <v>5700000</v>
      </c>
      <c r="P81" s="70">
        <f t="shared" si="12"/>
        <v>4100000</v>
      </c>
      <c r="Q81" s="70">
        <f t="shared" si="12"/>
        <v>0</v>
      </c>
    </row>
    <row r="82" spans="1:17" ht="19.5" customHeight="1">
      <c r="A82" s="93">
        <v>25</v>
      </c>
      <c r="B82" s="628" t="s">
        <v>107</v>
      </c>
      <c r="C82" s="629"/>
      <c r="D82" s="78">
        <f>'[1]Prognoza długu'!C46</f>
        <v>28859761</v>
      </c>
      <c r="E82" s="78">
        <f>'Prognoza długu'!D46</f>
        <v>10245475</v>
      </c>
      <c r="F82" s="285">
        <f>'Prognoza długu'!E46</f>
        <v>14027077</v>
      </c>
      <c r="G82" s="300">
        <f>G52+G57</f>
        <v>34904678</v>
      </c>
      <c r="H82" s="295">
        <f aca="true" t="shared" si="15" ref="H82:O82">H52</f>
        <v>0</v>
      </c>
      <c r="I82" s="78">
        <f t="shared" si="15"/>
        <v>0</v>
      </c>
      <c r="J82" s="78">
        <f t="shared" si="15"/>
        <v>0</v>
      </c>
      <c r="K82" s="78">
        <f t="shared" si="15"/>
        <v>0</v>
      </c>
      <c r="L82" s="78">
        <f t="shared" si="15"/>
        <v>0</v>
      </c>
      <c r="M82" s="78">
        <f t="shared" si="15"/>
        <v>0</v>
      </c>
      <c r="N82" s="78">
        <f t="shared" si="15"/>
        <v>0</v>
      </c>
      <c r="O82" s="78">
        <f t="shared" si="15"/>
        <v>0</v>
      </c>
      <c r="P82" s="78">
        <f>P52</f>
        <v>0</v>
      </c>
      <c r="Q82" s="78">
        <f>Q52</f>
        <v>0</v>
      </c>
    </row>
    <row r="83" spans="1:17" ht="19.5" customHeight="1" thickBot="1">
      <c r="A83" s="98">
        <v>26</v>
      </c>
      <c r="B83" s="640" t="s">
        <v>108</v>
      </c>
      <c r="C83" s="641"/>
      <c r="D83" s="99">
        <f>D29</f>
        <v>3463314</v>
      </c>
      <c r="E83" s="172">
        <f aca="true" t="shared" si="16" ref="E83:O83">E29</f>
        <v>6940085</v>
      </c>
      <c r="F83" s="288">
        <f t="shared" si="16"/>
        <v>4551585</v>
      </c>
      <c r="G83" s="304">
        <f t="shared" si="16"/>
        <v>6935040</v>
      </c>
      <c r="H83" s="297">
        <f t="shared" si="16"/>
        <v>7316899</v>
      </c>
      <c r="I83" s="99">
        <f t="shared" si="16"/>
        <v>7156453</v>
      </c>
      <c r="J83" s="99">
        <f t="shared" si="16"/>
        <v>8700000</v>
      </c>
      <c r="K83" s="99">
        <f t="shared" si="16"/>
        <v>8800000</v>
      </c>
      <c r="L83" s="99">
        <f t="shared" si="16"/>
        <v>9901170</v>
      </c>
      <c r="M83" s="99">
        <f t="shared" si="16"/>
        <v>9062028</v>
      </c>
      <c r="N83" s="99">
        <f t="shared" si="16"/>
        <v>10850523</v>
      </c>
      <c r="O83" s="99">
        <f t="shared" si="16"/>
        <v>6800000</v>
      </c>
      <c r="P83" s="99">
        <f>P29</f>
        <v>5723949</v>
      </c>
      <c r="Q83" s="99">
        <f>Q29</f>
        <v>6500000</v>
      </c>
    </row>
    <row r="84" spans="1:17" ht="15.75">
      <c r="A84" s="100"/>
      <c r="B84" s="101"/>
      <c r="C84" s="102"/>
      <c r="D84" s="102"/>
      <c r="E84" s="103"/>
      <c r="F84" s="104"/>
      <c r="G84" s="104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  <row r="85" spans="1:17" ht="12.75">
      <c r="A85" s="67"/>
      <c r="B85" s="67"/>
      <c r="C85" s="64"/>
      <c r="D85" s="64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4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4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5:7" ht="12.75">
      <c r="E88" s="27"/>
      <c r="F88" s="14"/>
      <c r="G88" s="14"/>
    </row>
  </sheetData>
  <sheetProtection/>
  <mergeCells count="84">
    <mergeCell ref="D10:F10"/>
    <mergeCell ref="D11:D12"/>
    <mergeCell ref="P50:P51"/>
    <mergeCell ref="B15:C15"/>
    <mergeCell ref="A9:A12"/>
    <mergeCell ref="E11:E12"/>
    <mergeCell ref="F11:F12"/>
    <mergeCell ref="H11:H12"/>
    <mergeCell ref="G11:G12"/>
    <mergeCell ref="G10:Q10"/>
    <mergeCell ref="N11:N12"/>
    <mergeCell ref="M11:M12"/>
    <mergeCell ref="I11:I12"/>
    <mergeCell ref="Q11:Q12"/>
    <mergeCell ref="O11:O12"/>
    <mergeCell ref="K11:K12"/>
    <mergeCell ref="J11:J12"/>
    <mergeCell ref="P11:P12"/>
    <mergeCell ref="D9:Q9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O50:O51"/>
    <mergeCell ref="H50:H51"/>
    <mergeCell ref="B71:C71"/>
    <mergeCell ref="B63:C63"/>
    <mergeCell ref="B48:C51"/>
    <mergeCell ref="J50:J51"/>
    <mergeCell ref="B57:C57"/>
    <mergeCell ref="B60:C60"/>
    <mergeCell ref="M50:M51"/>
    <mergeCell ref="D50:D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A61:A62"/>
    <mergeCell ref="B61:B62"/>
    <mergeCell ref="B52:C52"/>
    <mergeCell ref="B59:C59"/>
    <mergeCell ref="A48:A51"/>
    <mergeCell ref="E48:Q48"/>
    <mergeCell ref="L50:L51"/>
    <mergeCell ref="G49:Q49"/>
    <mergeCell ref="Q50:Q51"/>
    <mergeCell ref="N50:N51"/>
    <mergeCell ref="K50:K51"/>
    <mergeCell ref="G50:G51"/>
    <mergeCell ref="B70:C70"/>
    <mergeCell ref="B66:C66"/>
    <mergeCell ref="B67:C67"/>
    <mergeCell ref="B64:C64"/>
    <mergeCell ref="I50:I51"/>
    <mergeCell ref="D49:F49"/>
    <mergeCell ref="A6:M8"/>
    <mergeCell ref="E50:E51"/>
    <mergeCell ref="B13:C13"/>
    <mergeCell ref="L11:L12"/>
    <mergeCell ref="B26:C26"/>
    <mergeCell ref="B14:C14"/>
    <mergeCell ref="F50:F51"/>
    <mergeCell ref="B23:C23"/>
    <mergeCell ref="B24:C24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0" zoomScaleNormal="70" workbookViewId="0" topLeftCell="A32">
      <selection activeCell="A1" sqref="A1:P57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3.421875" style="0" customWidth="1"/>
    <col min="4" max="4" width="13.2812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47" t="s">
        <v>109</v>
      </c>
      <c r="L1" s="47"/>
      <c r="M1" s="108"/>
      <c r="N1" s="108"/>
      <c r="O1" s="108"/>
      <c r="P1" s="108"/>
    </row>
    <row r="2" spans="1:16" ht="2.2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52"/>
      <c r="L2" s="53"/>
      <c r="M2" s="108"/>
      <c r="N2" s="108"/>
      <c r="O2" s="108"/>
      <c r="P2" s="108"/>
    </row>
    <row r="3" spans="1:16" ht="17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57" t="s">
        <v>433</v>
      </c>
      <c r="L3" s="53"/>
      <c r="M3" s="108"/>
      <c r="N3" s="108"/>
      <c r="O3" s="108"/>
      <c r="P3" s="108"/>
    </row>
    <row r="4" spans="1:16" ht="17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57" t="s">
        <v>49</v>
      </c>
      <c r="L4" s="53"/>
      <c r="M4" s="108"/>
      <c r="N4" s="108"/>
      <c r="O4" s="108"/>
      <c r="P4" s="108"/>
    </row>
    <row r="5" spans="1:16" ht="17.2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57" t="s">
        <v>434</v>
      </c>
      <c r="L5" s="53"/>
      <c r="M5" s="108"/>
      <c r="N5" s="108"/>
      <c r="O5" s="108"/>
      <c r="P5" s="108"/>
    </row>
    <row r="6" spans="1:16" ht="39.75" customHeight="1" thickBot="1">
      <c r="A6" s="682" t="s">
        <v>388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</row>
    <row r="7" spans="1:16" ht="17.25" customHeight="1" thickBot="1">
      <c r="A7" s="683" t="s">
        <v>110</v>
      </c>
      <c r="B7" s="680" t="s">
        <v>61</v>
      </c>
      <c r="C7" s="687" t="s">
        <v>444</v>
      </c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9"/>
    </row>
    <row r="8" spans="1:16" ht="17.25" customHeight="1" thickBot="1">
      <c r="A8" s="683"/>
      <c r="B8" s="680"/>
      <c r="C8" s="684" t="s">
        <v>445</v>
      </c>
      <c r="D8" s="685"/>
      <c r="E8" s="686"/>
      <c r="F8" s="648" t="s">
        <v>62</v>
      </c>
      <c r="G8" s="681"/>
      <c r="H8" s="681"/>
      <c r="I8" s="681"/>
      <c r="J8" s="681"/>
      <c r="K8" s="681"/>
      <c r="L8" s="681"/>
      <c r="M8" s="681"/>
      <c r="N8" s="681"/>
      <c r="O8" s="681"/>
      <c r="P8" s="681"/>
    </row>
    <row r="9" spans="1:16" ht="17.25" customHeight="1" thickBot="1">
      <c r="A9" s="683"/>
      <c r="B9" s="680"/>
      <c r="C9" s="595">
        <v>2009</v>
      </c>
      <c r="D9" s="349">
        <v>2010</v>
      </c>
      <c r="E9" s="348">
        <v>2011</v>
      </c>
      <c r="F9" s="350">
        <v>2012</v>
      </c>
      <c r="G9" s="348">
        <v>2013</v>
      </c>
      <c r="H9" s="348">
        <v>2014</v>
      </c>
      <c r="I9" s="348">
        <v>2015</v>
      </c>
      <c r="J9" s="348">
        <v>2016</v>
      </c>
      <c r="K9" s="348">
        <v>2017</v>
      </c>
      <c r="L9" s="348">
        <v>2018</v>
      </c>
      <c r="M9" s="348">
        <v>2019</v>
      </c>
      <c r="N9" s="348">
        <v>2020</v>
      </c>
      <c r="O9" s="348">
        <v>2021</v>
      </c>
      <c r="P9" s="348">
        <v>2022</v>
      </c>
    </row>
    <row r="10" spans="1:16" ht="20.25" customHeight="1">
      <c r="A10" s="109">
        <v>1</v>
      </c>
      <c r="B10" s="110" t="s">
        <v>111</v>
      </c>
      <c r="C10" s="111">
        <v>45737732</v>
      </c>
      <c r="D10" s="111">
        <v>47797647</v>
      </c>
      <c r="E10" s="263">
        <f>D10+WPF!F52-WPF!F29</f>
        <v>56846062</v>
      </c>
      <c r="F10" s="269">
        <f>E10+WPF!G52-WPF!G29</f>
        <v>80811022</v>
      </c>
      <c r="G10" s="111">
        <f>F10+WPF!H52-WPF!H29</f>
        <v>73494123</v>
      </c>
      <c r="H10" s="111">
        <f>G10+WPF!I52-WPF!I29</f>
        <v>66337670</v>
      </c>
      <c r="I10" s="111">
        <f>H10+WPF!J52-WPF!J29</f>
        <v>57637670</v>
      </c>
      <c r="J10" s="111">
        <f>I10+WPF!K52-WPF!K29</f>
        <v>48837670</v>
      </c>
      <c r="K10" s="111">
        <f>J10+WPF!L52-WPF!L29</f>
        <v>38936500</v>
      </c>
      <c r="L10" s="111">
        <f>K10+WPF!M52-WPF!M29</f>
        <v>29874472</v>
      </c>
      <c r="M10" s="111">
        <f>L10+WPF!N52-WPF!N29</f>
        <v>19023949</v>
      </c>
      <c r="N10" s="111">
        <f>M10+WPF!O52-WPF!O29</f>
        <v>12223949</v>
      </c>
      <c r="O10" s="111">
        <f>N10+WPF!P52-WPF!P29</f>
        <v>6500000</v>
      </c>
      <c r="P10" s="111">
        <f>O10+WPF!Q52-WPF!Q29</f>
        <v>0</v>
      </c>
    </row>
    <row r="11" spans="1:16" ht="33.75" customHeight="1">
      <c r="A11" s="112" t="s">
        <v>64</v>
      </c>
      <c r="B11" s="41" t="s">
        <v>112</v>
      </c>
      <c r="C11" s="39">
        <v>0</v>
      </c>
      <c r="D11" s="39">
        <v>0</v>
      </c>
      <c r="E11" s="264">
        <v>2100000</v>
      </c>
      <c r="F11" s="270">
        <v>2050000</v>
      </c>
      <c r="G11" s="264"/>
      <c r="H11" s="39"/>
      <c r="I11" s="39"/>
      <c r="J11" s="39"/>
      <c r="K11" s="39"/>
      <c r="L11" s="39"/>
      <c r="M11" s="39"/>
      <c r="N11" s="39"/>
      <c r="O11" s="39"/>
      <c r="P11" s="39">
        <v>0</v>
      </c>
    </row>
    <row r="12" spans="1:16" ht="42" customHeight="1">
      <c r="A12" s="112" t="s">
        <v>66</v>
      </c>
      <c r="B12" s="41" t="s">
        <v>224</v>
      </c>
      <c r="C12" s="39">
        <v>0</v>
      </c>
      <c r="D12" s="39">
        <v>0</v>
      </c>
      <c r="E12" s="264">
        <v>0</v>
      </c>
      <c r="F12" s="270">
        <v>50000</v>
      </c>
      <c r="G12" s="264"/>
      <c r="H12" s="39"/>
      <c r="I12" s="39"/>
      <c r="J12" s="39"/>
      <c r="K12" s="39"/>
      <c r="L12" s="39"/>
      <c r="M12" s="39"/>
      <c r="N12" s="39"/>
      <c r="O12" s="39"/>
      <c r="P12" s="39">
        <v>0</v>
      </c>
    </row>
    <row r="13" spans="1:16" ht="55.5" customHeight="1">
      <c r="A13" s="112" t="s">
        <v>113</v>
      </c>
      <c r="B13" s="41" t="s">
        <v>114</v>
      </c>
      <c r="C13" s="39">
        <v>0</v>
      </c>
      <c r="D13" s="39">
        <v>0</v>
      </c>
      <c r="E13" s="264">
        <v>0</v>
      </c>
      <c r="F13" s="270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ht="24" customHeight="1">
      <c r="A14" s="112" t="s">
        <v>115</v>
      </c>
      <c r="B14" s="41" t="s">
        <v>116</v>
      </c>
      <c r="C14" s="39">
        <f>'[1]WPF'!D29</f>
        <v>3463314</v>
      </c>
      <c r="D14" s="39">
        <f>WPF!E29</f>
        <v>6940085</v>
      </c>
      <c r="E14" s="264">
        <f>WPF!F29</f>
        <v>4551585</v>
      </c>
      <c r="F14" s="270">
        <f>WPF!G29</f>
        <v>6935040</v>
      </c>
      <c r="G14" s="39">
        <f>WPF!H29</f>
        <v>7316899</v>
      </c>
      <c r="H14" s="39">
        <f>WPF!I29</f>
        <v>7156453</v>
      </c>
      <c r="I14" s="39">
        <f>WPF!J29</f>
        <v>8700000</v>
      </c>
      <c r="J14" s="39">
        <f>WPF!K29</f>
        <v>8800000</v>
      </c>
      <c r="K14" s="39">
        <f>WPF!L29</f>
        <v>9901170</v>
      </c>
      <c r="L14" s="39">
        <f>WPF!M29</f>
        <v>9062028</v>
      </c>
      <c r="M14" s="39">
        <f>WPF!N29</f>
        <v>10850523</v>
      </c>
      <c r="N14" s="39">
        <f>WPF!O29</f>
        <v>6800000</v>
      </c>
      <c r="O14" s="39">
        <f>WPF!P29</f>
        <v>5723949</v>
      </c>
      <c r="P14" s="39">
        <f>WPF!Q29</f>
        <v>6500000</v>
      </c>
    </row>
    <row r="15" spans="1:16" ht="24" customHeight="1">
      <c r="A15" s="113" t="s">
        <v>117</v>
      </c>
      <c r="B15" s="114" t="s">
        <v>118</v>
      </c>
      <c r="C15" s="596"/>
      <c r="D15" s="115">
        <v>0.1911</v>
      </c>
      <c r="E15" s="267">
        <f>WPF!F66</f>
        <v>0.1292</v>
      </c>
      <c r="F15" s="271">
        <f>WPF!G66</f>
        <v>0.0951</v>
      </c>
      <c r="G15" s="267">
        <f>WPF!H66</f>
        <v>0.17</v>
      </c>
      <c r="H15" s="267">
        <f>WPF!I66</f>
        <v>0.2536</v>
      </c>
      <c r="I15" s="267">
        <f>WPF!J66</f>
        <v>0.2774</v>
      </c>
      <c r="J15" s="115">
        <f>1/3*((WPF!H14+WPF!H16-'Prognoza długu'!G25)/WPF!H13+(WPF!I14+WPF!I16-'Prognoza długu'!H25)/WPF!I13+(WPF!J14+WPF!J16-'Prognoza długu'!I25)/WPF!J13)</f>
        <v>0.24549511560722603</v>
      </c>
      <c r="K15" s="115">
        <f>1/3*((WPF!I14+WPF!I16-'Prognoza długu'!H25)/WPF!I13+(WPF!J14+WPF!J16-'Prognoza długu'!I25)/WPF!J13+(WPF!K14+WPF!K16-'Prognoza długu'!J25)/WPF!K13)</f>
        <v>0.20877556286030985</v>
      </c>
      <c r="L15" s="115">
        <f>1/3*((WPF!J14+WPF!J16-'Prognoza długu'!I25)/WPF!J13+(WPF!K14+WPF!K16-'Prognoza długu'!J25)/WPF!K13+(WPF!L14+WPF!L16-'Prognoza długu'!K25)/WPF!L13)</f>
        <v>0.2035207326812698</v>
      </c>
      <c r="M15" s="115">
        <f>1/3*((WPF!K14+WPF!K16-'Prognoza długu'!J25)/WPF!K13+(WPF!L14+WPF!L16-'Prognoza długu'!K25)/WPF!L13+(WPF!M14+WPF!M16-'Prognoza długu'!L25)/WPF!M13)</f>
        <v>0.1901678684514665</v>
      </c>
      <c r="N15" s="115">
        <f>1/3*((WPF!L14+WPF!L16-'Prognoza długu'!K25)/WPF!L13+(WPF!M14+WPF!M16-'Prognoza długu'!L25)/WPF!M13+(WPF!N14+WPF!N16-'Prognoza długu'!M25)/WPF!N13)</f>
        <v>0.19196927950582476</v>
      </c>
      <c r="O15" s="115">
        <f>1/3*((WPF!L14+WPF!L16-'Prognoza długu'!K25)/WPF!L13+(WPF!M14+WPF!M16-'Prognoza długu'!L25)/WPF!M13+(WPF!N14+WPF!N16-'Prognoza długu'!M25)/WPF!N13)</f>
        <v>0.19196927950582476</v>
      </c>
      <c r="P15" s="115">
        <f>1/3*((WPF!M14+WPF!M16-'Prognoza długu'!L25)/WPF!M13+(WPF!N14+WPF!N16-'Prognoza długu'!M25)/WPF!N13+(WPF!O14+WPF!O16-'Prognoza długu'!N25)/WPF!O13)</f>
        <v>0.20551150559938924</v>
      </c>
    </row>
    <row r="16" spans="1:16" ht="30.75" customHeight="1">
      <c r="A16" s="113" t="s">
        <v>119</v>
      </c>
      <c r="B16" s="114" t="s">
        <v>120</v>
      </c>
      <c r="C16" s="596" t="s">
        <v>79</v>
      </c>
      <c r="D16" s="115">
        <f>(WPF!E33+WPF!E29)/WPF!E13</f>
        <v>0.10653694792951553</v>
      </c>
      <c r="E16" s="267">
        <f>(WPF!F33+WPF!F29)/WPF!F13</f>
        <v>0.06477032056994766</v>
      </c>
      <c r="F16" s="271">
        <v>0.0641</v>
      </c>
      <c r="G16" s="115">
        <f>(WPF!H33+WPF!H29)/WPF!H13</f>
        <v>0.06948784632871982</v>
      </c>
      <c r="H16" s="115">
        <f>(WPF!I33+WPF!I29)/WPF!I13</f>
        <v>0.07919611060177456</v>
      </c>
      <c r="I16" s="115">
        <f>(WPF!J33+WPF!J29)/WPF!J13</f>
        <v>0.0924411053204332</v>
      </c>
      <c r="J16" s="115">
        <f>(WPF!K33+WPF!K29)/WPF!K13</f>
        <v>0.0822668884748364</v>
      </c>
      <c r="K16" s="115">
        <f>(WPF!L33+WPF!L29)/WPF!L13</f>
        <v>0.10067604278417809</v>
      </c>
      <c r="L16" s="115">
        <f>(WPF!M33+WPF!M29)/WPF!M13</f>
        <v>0.08593227494450306</v>
      </c>
      <c r="M16" s="115">
        <f>(WPF!N33+WPF!N29)/WPF!N13</f>
        <v>0.09019822699292285</v>
      </c>
      <c r="N16" s="115">
        <f>(WPF!O33+WPF!O29)/WPF!O13</f>
        <v>0.05663289337967868</v>
      </c>
      <c r="O16" s="115">
        <f>(WPF!P33+WPF!P29)/WPF!P13</f>
        <v>0.045051293615645756</v>
      </c>
      <c r="P16" s="115">
        <f>(WPF!Q33+WPF!Q29)/WPF!Q13</f>
        <v>0.04644577568454852</v>
      </c>
    </row>
    <row r="17" spans="1:16" ht="35.25" customHeight="1">
      <c r="A17" s="113" t="s">
        <v>121</v>
      </c>
      <c r="B17" s="116" t="s">
        <v>122</v>
      </c>
      <c r="C17" s="596"/>
      <c r="D17" s="115">
        <f>D15-D16</f>
        <v>0.08456305207048447</v>
      </c>
      <c r="E17" s="267">
        <f aca="true" t="shared" si="0" ref="E17:N17">E15-E16</f>
        <v>0.06442967943005234</v>
      </c>
      <c r="F17" s="271">
        <f t="shared" si="0"/>
        <v>0.031</v>
      </c>
      <c r="G17" s="115">
        <f t="shared" si="0"/>
        <v>0.10051215367128019</v>
      </c>
      <c r="H17" s="115">
        <f t="shared" si="0"/>
        <v>0.17440388939822543</v>
      </c>
      <c r="I17" s="115">
        <f t="shared" si="0"/>
        <v>0.18495889467956678</v>
      </c>
      <c r="J17" s="115">
        <f t="shared" si="0"/>
        <v>0.16322822713238963</v>
      </c>
      <c r="K17" s="115">
        <f t="shared" si="0"/>
        <v>0.10809952007613176</v>
      </c>
      <c r="L17" s="115">
        <f t="shared" si="0"/>
        <v>0.11758845773676674</v>
      </c>
      <c r="M17" s="115">
        <f t="shared" si="0"/>
        <v>0.09996964145854365</v>
      </c>
      <c r="N17" s="115">
        <f t="shared" si="0"/>
        <v>0.13533638612614607</v>
      </c>
      <c r="O17" s="115">
        <f>O15-O16</f>
        <v>0.14691798589017901</v>
      </c>
      <c r="P17" s="115">
        <f>P15-P16</f>
        <v>0.15906572991484072</v>
      </c>
    </row>
    <row r="18" spans="1:16" ht="30" customHeight="1">
      <c r="A18" s="112" t="s">
        <v>123</v>
      </c>
      <c r="B18" s="41" t="s">
        <v>124</v>
      </c>
      <c r="C18" s="117">
        <f>'[1]WPF'!D28/'[1]WPF'!D13%</f>
        <v>5.510659630018438</v>
      </c>
      <c r="D18" s="117">
        <f>WPF!E28/WPF!E13%</f>
        <v>10.653694792951551</v>
      </c>
      <c r="E18" s="265">
        <f>WPF!F28/WPF!F13%</f>
        <v>6.477032056994767</v>
      </c>
      <c r="F18" s="272">
        <v>6.41</v>
      </c>
      <c r="G18" s="117">
        <f>WPF!H28/WPF!H13%</f>
        <v>6.948784632871981</v>
      </c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29.25" customHeight="1">
      <c r="A19" s="112" t="s">
        <v>125</v>
      </c>
      <c r="B19" s="41" t="s">
        <v>126</v>
      </c>
      <c r="C19" s="117">
        <f>C10/'[1]WPF'!D13%</f>
        <v>55.982746471274986</v>
      </c>
      <c r="D19" s="117">
        <f>D10/WPF!E13%</f>
        <v>56.16915056018265</v>
      </c>
      <c r="E19" s="265">
        <f>E10/WPF!F13%</f>
        <v>53.03685286603532</v>
      </c>
      <c r="F19" s="272">
        <v>50.24</v>
      </c>
      <c r="G19" s="117">
        <f>G10/WPF!H13%</f>
        <v>41.980347582119045</v>
      </c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ht="17.25" customHeight="1">
      <c r="A20" s="60" t="s">
        <v>127</v>
      </c>
      <c r="B20" s="118" t="s">
        <v>128</v>
      </c>
      <c r="C20" s="42">
        <f>C21+C22</f>
        <v>81699693</v>
      </c>
      <c r="D20" s="42">
        <f aca="true" t="shared" si="1" ref="D20:N20">D21+D22</f>
        <v>85095905</v>
      </c>
      <c r="E20" s="266">
        <f t="shared" si="1"/>
        <v>107182193</v>
      </c>
      <c r="F20" s="273">
        <f>F21+F22</f>
        <v>135520592</v>
      </c>
      <c r="G20" s="42">
        <f t="shared" si="1"/>
        <v>175067924</v>
      </c>
      <c r="H20" s="42">
        <f t="shared" si="1"/>
        <v>146277436</v>
      </c>
      <c r="I20" s="42">
        <f t="shared" si="1"/>
        <v>138639688</v>
      </c>
      <c r="J20" s="119">
        <f t="shared" si="1"/>
        <v>151446180</v>
      </c>
      <c r="K20" s="42">
        <f t="shared" si="1"/>
        <v>129860716</v>
      </c>
      <c r="L20" s="42">
        <f t="shared" si="1"/>
        <v>135174581</v>
      </c>
      <c r="M20" s="42">
        <f t="shared" si="1"/>
        <v>140750256</v>
      </c>
      <c r="N20" s="42">
        <f t="shared" si="1"/>
        <v>140603825</v>
      </c>
      <c r="O20" s="42">
        <f>O21+O22</f>
        <v>142658641</v>
      </c>
      <c r="P20" s="42">
        <f>P21+P22</f>
        <v>144657935</v>
      </c>
    </row>
    <row r="21" spans="1:16" ht="16.5" customHeight="1">
      <c r="A21" s="112" t="s">
        <v>64</v>
      </c>
      <c r="B21" s="41" t="s">
        <v>129</v>
      </c>
      <c r="C21" s="39">
        <f>'[1]WPF'!D14</f>
        <v>80665439</v>
      </c>
      <c r="D21" s="39">
        <f>WPF!E14</f>
        <v>84339995</v>
      </c>
      <c r="E21" s="264">
        <f>WPF!F14</f>
        <v>101368763</v>
      </c>
      <c r="F21" s="270">
        <f>WPF!G14</f>
        <v>105995816</v>
      </c>
      <c r="G21" s="39">
        <f>WPF!H14</f>
        <v>115206973</v>
      </c>
      <c r="H21" s="39">
        <f>WPF!I14</f>
        <v>118126336</v>
      </c>
      <c r="I21" s="39">
        <f>WPF!J14</f>
        <v>118175588</v>
      </c>
      <c r="J21" s="120">
        <f>WPF!K14</f>
        <v>125586180</v>
      </c>
      <c r="K21" s="39">
        <f>WPF!L14</f>
        <v>129860716</v>
      </c>
      <c r="L21" s="39">
        <f>WPF!M14</f>
        <v>135174581</v>
      </c>
      <c r="M21" s="39">
        <f>WPF!N14</f>
        <v>140750256</v>
      </c>
      <c r="N21" s="39">
        <f>WPF!O14</f>
        <v>140603825</v>
      </c>
      <c r="O21" s="39">
        <f>WPF!P14</f>
        <v>142658641</v>
      </c>
      <c r="P21" s="39">
        <f>WPF!Q14</f>
        <v>144657935</v>
      </c>
    </row>
    <row r="22" spans="1:16" ht="16.5" customHeight="1">
      <c r="A22" s="112" t="s">
        <v>66</v>
      </c>
      <c r="B22" s="41" t="s">
        <v>67</v>
      </c>
      <c r="C22" s="39">
        <f>'[1]WPF'!D15</f>
        <v>1034254</v>
      </c>
      <c r="D22" s="39">
        <f>WPF!E15</f>
        <v>755910</v>
      </c>
      <c r="E22" s="264">
        <f>WPF!F15</f>
        <v>5813430</v>
      </c>
      <c r="F22" s="270">
        <f>WPF!G15</f>
        <v>29524776</v>
      </c>
      <c r="G22" s="39">
        <f>WPF!H15</f>
        <v>59860951</v>
      </c>
      <c r="H22" s="39">
        <f>WPF!I15</f>
        <v>28151100</v>
      </c>
      <c r="I22" s="39">
        <f>WPF!J15</f>
        <v>20464100</v>
      </c>
      <c r="J22" s="39">
        <f>WPF!K15</f>
        <v>25860000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2" t="s">
        <v>68</v>
      </c>
      <c r="B23" s="41" t="s">
        <v>70</v>
      </c>
      <c r="C23" s="39">
        <f>'[1]WPF'!D16</f>
        <v>197354</v>
      </c>
      <c r="D23" s="39">
        <f>WPF!E16</f>
        <v>255910</v>
      </c>
      <c r="E23" s="264">
        <f>WPF!F16</f>
        <v>5637026</v>
      </c>
      <c r="F23" s="270">
        <f>WPF!G16</f>
        <v>27013900</v>
      </c>
      <c r="G23" s="39">
        <f>WPF!H16</f>
        <v>57000000</v>
      </c>
      <c r="H23" s="39">
        <f>WPF!I16</f>
        <v>14000000</v>
      </c>
      <c r="I23" s="39">
        <f>WPF!J16</f>
        <v>20000000</v>
      </c>
      <c r="J23" s="39">
        <f>WPF!K16</f>
        <v>14860000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0" t="s">
        <v>130</v>
      </c>
      <c r="B24" s="118" t="s">
        <v>131</v>
      </c>
      <c r="C24" s="42">
        <f>C25+C26</f>
        <v>105850665</v>
      </c>
      <c r="D24" s="42">
        <f>D25+D26</f>
        <v>87934218</v>
      </c>
      <c r="E24" s="266">
        <f>E25+E26</f>
        <v>112653007</v>
      </c>
      <c r="F24" s="273">
        <f>F25+F26</f>
        <v>163490230</v>
      </c>
      <c r="G24" s="42">
        <f>G25+G26</f>
        <v>167751025</v>
      </c>
      <c r="H24" s="42">
        <f aca="true" t="shared" si="2" ref="H24:P24">H25+H26</f>
        <v>139120983</v>
      </c>
      <c r="I24" s="42">
        <f t="shared" si="2"/>
        <v>129939688</v>
      </c>
      <c r="J24" s="42">
        <f t="shared" si="2"/>
        <v>142646180</v>
      </c>
      <c r="K24" s="42">
        <f t="shared" si="2"/>
        <v>119959546</v>
      </c>
      <c r="L24" s="42">
        <f t="shared" si="2"/>
        <v>126112553</v>
      </c>
      <c r="M24" s="42">
        <f t="shared" si="2"/>
        <v>129899733</v>
      </c>
      <c r="N24" s="42">
        <f t="shared" si="2"/>
        <v>133803825.43</v>
      </c>
      <c r="O24" s="42">
        <f>O25+O26</f>
        <v>136934692.3225</v>
      </c>
      <c r="P24" s="42">
        <f t="shared" si="2"/>
        <v>138157935</v>
      </c>
    </row>
    <row r="25" spans="1:16" ht="17.25" customHeight="1">
      <c r="A25" s="112" t="s">
        <v>64</v>
      </c>
      <c r="B25" s="41" t="s">
        <v>132</v>
      </c>
      <c r="C25" s="39">
        <f>'[1]WPF'!D17+'[1]WPF'!D33</f>
        <v>72590083</v>
      </c>
      <c r="D25" s="39">
        <f>WPF!E17+WPF!E33</f>
        <v>78155472</v>
      </c>
      <c r="E25" s="264">
        <f>WPF!F17+WPF!F33</f>
        <v>95385455</v>
      </c>
      <c r="F25" s="270">
        <f>WPF!G17+WPF!G33</f>
        <v>105593993</v>
      </c>
      <c r="G25" s="39">
        <f>WPF!H17+WPF!H33</f>
        <v>115069340</v>
      </c>
      <c r="H25" s="39">
        <f>WPF!I17+WPF!I33</f>
        <v>105800983</v>
      </c>
      <c r="I25" s="39">
        <f>WPF!J17+WPF!J33</f>
        <v>106268688</v>
      </c>
      <c r="J25" s="39">
        <f>WPF!K17+WPF!K33</f>
        <v>107701180</v>
      </c>
      <c r="K25" s="39">
        <f>WPF!L17+WPF!L33</f>
        <v>108537046</v>
      </c>
      <c r="L25" s="39">
        <f>WPF!M17+WPF!M33</f>
        <v>109480053.26</v>
      </c>
      <c r="M25" s="39">
        <f>WPF!N17+WPF!N33</f>
        <v>109557232.54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115157935</v>
      </c>
    </row>
    <row r="26" spans="1:16" ht="17.25" customHeight="1">
      <c r="A26" s="112" t="s">
        <v>66</v>
      </c>
      <c r="B26" s="41" t="s">
        <v>133</v>
      </c>
      <c r="C26" s="39">
        <f>'[1]WPF'!D36</f>
        <v>33260582</v>
      </c>
      <c r="D26" s="39">
        <f>WPF!E36</f>
        <v>9778746</v>
      </c>
      <c r="E26" s="264">
        <f>WPF!F36</f>
        <v>17267552</v>
      </c>
      <c r="F26" s="270">
        <f>WPF!G36</f>
        <v>57896237</v>
      </c>
      <c r="G26" s="39">
        <f>WPF!H36</f>
        <v>52681685</v>
      </c>
      <c r="H26" s="39">
        <f>WPF!I36</f>
        <v>33320000</v>
      </c>
      <c r="I26" s="39">
        <f>WPF!J36</f>
        <v>23671000</v>
      </c>
      <c r="J26" s="39">
        <f>WPF!K36</f>
        <v>34945000</v>
      </c>
      <c r="K26" s="39">
        <f>WPF!L36</f>
        <v>11422500</v>
      </c>
      <c r="L26" s="39">
        <f>WPF!M36</f>
        <v>16632499.74</v>
      </c>
      <c r="M26" s="39">
        <f>WPF!N36</f>
        <v>20342500.46</v>
      </c>
      <c r="N26" s="39">
        <f>WPF!O36</f>
        <v>22000000</v>
      </c>
      <c r="O26" s="39">
        <f>WPF!P36</f>
        <v>24000000</v>
      </c>
      <c r="P26" s="39">
        <f>WPF!Q36</f>
        <v>23000000</v>
      </c>
    </row>
    <row r="27" spans="1:16" ht="31.5" customHeight="1">
      <c r="A27" s="60" t="s">
        <v>134</v>
      </c>
      <c r="B27" s="118" t="s">
        <v>135</v>
      </c>
      <c r="C27" s="42">
        <f>C20-C24</f>
        <v>-24150972</v>
      </c>
      <c r="D27" s="42">
        <f>D20-D24</f>
        <v>-2838313</v>
      </c>
      <c r="E27" s="266">
        <f>E20-E24</f>
        <v>-5470814</v>
      </c>
      <c r="F27" s="273">
        <f>F20-F24</f>
        <v>-27969638</v>
      </c>
      <c r="G27" s="42">
        <f>G20-G24</f>
        <v>7316899</v>
      </c>
      <c r="H27" s="42">
        <f aca="true" t="shared" si="3" ref="H27:P27">H20-H24</f>
        <v>7156453</v>
      </c>
      <c r="I27" s="42">
        <f t="shared" si="3"/>
        <v>8700000</v>
      </c>
      <c r="J27" s="42">
        <f t="shared" si="3"/>
        <v>8800000</v>
      </c>
      <c r="K27" s="42">
        <f t="shared" si="3"/>
        <v>9901170</v>
      </c>
      <c r="L27" s="42">
        <f t="shared" si="3"/>
        <v>9062028</v>
      </c>
      <c r="M27" s="42">
        <f t="shared" si="3"/>
        <v>10850523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0" t="s">
        <v>136</v>
      </c>
      <c r="B28" s="118" t="s">
        <v>204</v>
      </c>
      <c r="C28" s="42">
        <f>SUM(C29:C33)</f>
        <v>24150972</v>
      </c>
      <c r="D28" s="42">
        <f>SUM(D29:D33)</f>
        <v>2838313</v>
      </c>
      <c r="E28" s="266">
        <f>SUM(E29:E33)</f>
        <v>5470814</v>
      </c>
      <c r="F28" s="273">
        <f>SUM(F29:F33)</f>
        <v>27969638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1" t="s">
        <v>64</v>
      </c>
      <c r="B29" s="44" t="s">
        <v>87</v>
      </c>
      <c r="C29" s="39">
        <v>6330000</v>
      </c>
      <c r="D29" s="39"/>
      <c r="E29" s="264"/>
      <c r="F29" s="273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1" t="s">
        <v>66</v>
      </c>
      <c r="B30" s="44" t="s">
        <v>88</v>
      </c>
      <c r="C30" s="39">
        <v>4810000</v>
      </c>
      <c r="D30" s="39"/>
      <c r="E30" s="264"/>
      <c r="F30" s="273">
        <v>10000000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1" t="s">
        <v>74</v>
      </c>
      <c r="B31" s="44" t="s">
        <v>202</v>
      </c>
      <c r="C31" s="39"/>
      <c r="D31" s="39"/>
      <c r="E31" s="264"/>
      <c r="F31" s="273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1" t="s">
        <v>77</v>
      </c>
      <c r="B32" s="58" t="s">
        <v>96</v>
      </c>
      <c r="C32" s="39"/>
      <c r="D32" s="39"/>
      <c r="E32" s="264"/>
      <c r="F32" s="273">
        <v>3969638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1" t="s">
        <v>137</v>
      </c>
      <c r="B33" s="44" t="s">
        <v>95</v>
      </c>
      <c r="C33" s="39">
        <v>13010972</v>
      </c>
      <c r="D33" s="39">
        <v>2838313</v>
      </c>
      <c r="E33" s="264">
        <v>5470814</v>
      </c>
      <c r="F33" s="273">
        <v>14000000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60"/>
      <c r="B34" s="161"/>
      <c r="C34" s="161"/>
      <c r="D34" s="162"/>
      <c r="E34" s="1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1:16" ht="21.75" customHeight="1">
      <c r="A35" s="164"/>
      <c r="B35" s="165"/>
      <c r="C35" s="165"/>
      <c r="D35" s="166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1:16" ht="22.5" customHeight="1">
      <c r="A36" s="164"/>
      <c r="B36" s="165"/>
      <c r="C36" s="165"/>
      <c r="D36" s="166"/>
      <c r="E36" s="166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</row>
    <row r="37" spans="1:16" ht="15.75" customHeight="1">
      <c r="A37" s="164"/>
      <c r="B37" s="165"/>
      <c r="C37" s="165"/>
      <c r="D37" s="166"/>
      <c r="E37" s="166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</row>
    <row r="38" spans="1:16" ht="15.75" customHeight="1" thickBot="1">
      <c r="A38" s="164"/>
      <c r="B38" s="165"/>
      <c r="C38" s="165"/>
      <c r="D38" s="166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</row>
    <row r="39" spans="1:16" ht="15.75" customHeight="1" thickBot="1">
      <c r="A39" s="683" t="s">
        <v>110</v>
      </c>
      <c r="B39" s="679" t="s">
        <v>61</v>
      </c>
      <c r="C39" s="594"/>
      <c r="D39" s="635" t="s">
        <v>444</v>
      </c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6"/>
    </row>
    <row r="40" spans="1:16" ht="15.75" customHeight="1" thickBot="1">
      <c r="A40" s="683"/>
      <c r="B40" s="680"/>
      <c r="C40" s="684" t="s">
        <v>445</v>
      </c>
      <c r="D40" s="685"/>
      <c r="E40" s="686"/>
      <c r="F40" s="648" t="s">
        <v>62</v>
      </c>
      <c r="G40" s="681"/>
      <c r="H40" s="681"/>
      <c r="I40" s="681"/>
      <c r="J40" s="681"/>
      <c r="K40" s="681"/>
      <c r="L40" s="681"/>
      <c r="M40" s="681"/>
      <c r="N40" s="681"/>
      <c r="O40" s="681"/>
      <c r="P40" s="681"/>
    </row>
    <row r="41" spans="1:16" ht="15.75" customHeight="1" thickBot="1">
      <c r="A41" s="683"/>
      <c r="B41" s="680"/>
      <c r="C41" s="595">
        <v>2009</v>
      </c>
      <c r="D41" s="349">
        <v>2010</v>
      </c>
      <c r="E41" s="348">
        <v>2011</v>
      </c>
      <c r="F41" s="350">
        <v>2012</v>
      </c>
      <c r="G41" s="348">
        <v>2013</v>
      </c>
      <c r="H41" s="348">
        <v>2014</v>
      </c>
      <c r="I41" s="348">
        <v>2015</v>
      </c>
      <c r="J41" s="348">
        <v>2016</v>
      </c>
      <c r="K41" s="348">
        <v>2017</v>
      </c>
      <c r="L41" s="348">
        <v>2018</v>
      </c>
      <c r="M41" s="348">
        <v>2019</v>
      </c>
      <c r="N41" s="348">
        <v>2020</v>
      </c>
      <c r="O41" s="348">
        <v>2021</v>
      </c>
      <c r="P41" s="348">
        <v>2022</v>
      </c>
    </row>
    <row r="42" spans="1:16" ht="14.25" customHeight="1">
      <c r="A42" s="60" t="s">
        <v>138</v>
      </c>
      <c r="B42" s="118" t="s">
        <v>205</v>
      </c>
      <c r="C42" s="42"/>
      <c r="D42" s="42"/>
      <c r="E42" s="266"/>
      <c r="F42" s="273"/>
      <c r="G42" s="42">
        <f aca="true" t="shared" si="4" ref="G42:N42">SUM(G43:G45)</f>
        <v>7316899</v>
      </c>
      <c r="H42" s="42">
        <f t="shared" si="4"/>
        <v>7156453</v>
      </c>
      <c r="I42" s="42">
        <f t="shared" si="4"/>
        <v>8700000</v>
      </c>
      <c r="J42" s="42">
        <f t="shared" si="4"/>
        <v>8800000</v>
      </c>
      <c r="K42" s="42">
        <f t="shared" si="4"/>
        <v>9901170</v>
      </c>
      <c r="L42" s="42">
        <f t="shared" si="4"/>
        <v>9062028</v>
      </c>
      <c r="M42" s="42">
        <f t="shared" si="4"/>
        <v>10850523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2" t="s">
        <v>64</v>
      </c>
      <c r="B43" s="44" t="s">
        <v>201</v>
      </c>
      <c r="C43" s="40"/>
      <c r="D43" s="63"/>
      <c r="E43" s="264"/>
      <c r="F43" s="270"/>
      <c r="G43" s="40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2" t="s">
        <v>66</v>
      </c>
      <c r="B44" s="44" t="s">
        <v>206</v>
      </c>
      <c r="C44" s="40"/>
      <c r="D44" s="63"/>
      <c r="E44" s="264"/>
      <c r="F44" s="270"/>
      <c r="G44" s="40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2" t="s">
        <v>74</v>
      </c>
      <c r="B45" s="44" t="s">
        <v>89</v>
      </c>
      <c r="C45" s="40"/>
      <c r="D45" s="63"/>
      <c r="E45" s="264"/>
      <c r="F45" s="270"/>
      <c r="G45" s="40">
        <f aca="true" t="shared" si="8" ref="G45:N45">G55</f>
        <v>3000000</v>
      </c>
      <c r="H45" s="40">
        <f t="shared" si="8"/>
        <v>3000000</v>
      </c>
      <c r="I45" s="40">
        <f t="shared" si="8"/>
        <v>5500000</v>
      </c>
      <c r="J45" s="40">
        <f t="shared" si="8"/>
        <v>5500000</v>
      </c>
      <c r="K45" s="40">
        <f t="shared" si="8"/>
        <v>6000000</v>
      </c>
      <c r="L45" s="40">
        <f t="shared" si="8"/>
        <v>8000000</v>
      </c>
      <c r="M45" s="40">
        <f t="shared" si="8"/>
        <v>9600000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0" t="s">
        <v>139</v>
      </c>
      <c r="B46" s="118" t="s">
        <v>107</v>
      </c>
      <c r="C46" s="42">
        <f>'[1]WPF'!D24+'[1]WPF'!D52</f>
        <v>28859761</v>
      </c>
      <c r="D46" s="42">
        <f>WPF!E24+WPF!E52</f>
        <v>10245475</v>
      </c>
      <c r="E46" s="266">
        <f>WPF!F24+WPF!F52</f>
        <v>14027077</v>
      </c>
      <c r="F46" s="273">
        <f>F49+F50+F48</f>
        <v>34904678</v>
      </c>
      <c r="G46" s="42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2" t="s">
        <v>64</v>
      </c>
      <c r="B47" s="44" t="s">
        <v>87</v>
      </c>
      <c r="C47" s="39">
        <v>6330000</v>
      </c>
      <c r="D47" s="39"/>
      <c r="E47" s="264">
        <v>2100000</v>
      </c>
      <c r="F47" s="270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2" t="s">
        <v>66</v>
      </c>
      <c r="B48" s="44" t="s">
        <v>88</v>
      </c>
      <c r="C48" s="39">
        <v>4810000</v>
      </c>
      <c r="D48" s="39"/>
      <c r="E48" s="264"/>
      <c r="F48" s="270">
        <v>10000000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2" t="s">
        <v>74</v>
      </c>
      <c r="B49" s="44" t="s">
        <v>95</v>
      </c>
      <c r="C49" s="39">
        <v>14000000</v>
      </c>
      <c r="D49" s="39">
        <v>9000000</v>
      </c>
      <c r="E49" s="264">
        <v>11500000</v>
      </c>
      <c r="F49" s="270">
        <v>20900000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2" t="s">
        <v>77</v>
      </c>
      <c r="B50" s="58" t="s">
        <v>96</v>
      </c>
      <c r="C50" s="39">
        <v>3719761</v>
      </c>
      <c r="D50" s="39">
        <v>1245475</v>
      </c>
      <c r="E50" s="264">
        <v>427077</v>
      </c>
      <c r="F50" s="270">
        <v>4004678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2" t="s">
        <v>137</v>
      </c>
      <c r="B51" s="59" t="s">
        <v>97</v>
      </c>
      <c r="C51" s="39"/>
      <c r="D51" s="39"/>
      <c r="E51" s="264"/>
      <c r="F51" s="270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0" t="s">
        <v>203</v>
      </c>
      <c r="B52" s="118" t="s">
        <v>108</v>
      </c>
      <c r="C52" s="42">
        <f>'[1]WPF'!D29+'[1]WPF'!D34</f>
        <v>3463314</v>
      </c>
      <c r="D52" s="42">
        <f>WPF!E29+WPF!E34</f>
        <v>6980085</v>
      </c>
      <c r="E52" s="266">
        <f>WPF!F29+WPF!F34</f>
        <v>4551585</v>
      </c>
      <c r="F52" s="273">
        <f>WPF!G29+WPF!G34</f>
        <v>6935040</v>
      </c>
      <c r="G52" s="42">
        <f>WPF!H29+WPF!H34</f>
        <v>7316899</v>
      </c>
      <c r="H52" s="42">
        <f>WPF!I29+WPF!I34</f>
        <v>7156453</v>
      </c>
      <c r="I52" s="42">
        <f>WPF!J29+WPF!J34</f>
        <v>8700000</v>
      </c>
      <c r="J52" s="42">
        <f>WPF!K29+WPF!K34</f>
        <v>8800000</v>
      </c>
      <c r="K52" s="42">
        <f>WPF!L29+WPF!L34</f>
        <v>9901170</v>
      </c>
      <c r="L52" s="42">
        <f>WPF!M29+WPF!M34</f>
        <v>9062028</v>
      </c>
      <c r="M52" s="42">
        <f>WPF!N29+WPF!N34</f>
        <v>10850523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2" t="s">
        <v>64</v>
      </c>
      <c r="B53" s="44" t="s">
        <v>87</v>
      </c>
      <c r="C53" s="40">
        <v>2963314</v>
      </c>
      <c r="D53" s="63">
        <v>3340085</v>
      </c>
      <c r="E53" s="264">
        <f>WPF!F30</f>
        <v>2141585</v>
      </c>
      <c r="F53" s="270">
        <f>WPF!G30</f>
        <v>3535040</v>
      </c>
      <c r="G53" s="40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2" t="s">
        <v>66</v>
      </c>
      <c r="B54" s="44" t="s">
        <v>88</v>
      </c>
      <c r="C54" s="40">
        <v>500000</v>
      </c>
      <c r="D54" s="63">
        <v>3600000</v>
      </c>
      <c r="E54" s="264">
        <f>WPF!F31</f>
        <v>410000</v>
      </c>
      <c r="F54" s="270">
        <f>WPF!G31</f>
        <v>400000</v>
      </c>
      <c r="G54" s="40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2" t="s">
        <v>74</v>
      </c>
      <c r="B55" s="44" t="s">
        <v>89</v>
      </c>
      <c r="C55" s="40"/>
      <c r="D55" s="63"/>
      <c r="E55" s="264">
        <f>WPF!F32</f>
        <v>2000000</v>
      </c>
      <c r="F55" s="270">
        <f>WPF!G32</f>
        <v>3000000</v>
      </c>
      <c r="G55" s="40">
        <f>WPF!H32</f>
        <v>3000000</v>
      </c>
      <c r="H55" s="40">
        <f>WPF!I32</f>
        <v>3000000</v>
      </c>
      <c r="I55" s="40">
        <f>WPF!J32</f>
        <v>5500000</v>
      </c>
      <c r="J55" s="40">
        <f>WPF!K32</f>
        <v>5500000</v>
      </c>
      <c r="K55" s="40">
        <f>WPF!L32</f>
        <v>6000000</v>
      </c>
      <c r="L55" s="40">
        <f>WPF!M32</f>
        <v>8000000</v>
      </c>
      <c r="M55" s="40">
        <f>WPF!N32</f>
        <v>9600000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1">
        <v>16</v>
      </c>
      <c r="B56" s="122" t="s">
        <v>140</v>
      </c>
      <c r="C56" s="123">
        <f>('[1]WPF'!D14+'[1]WPF'!D24)/'[1]Prognoza długu'!C25%</f>
        <v>116.24893719986517</v>
      </c>
      <c r="D56" s="123">
        <f>(WPF!E14+WPF!E24)/'Prognoza długu'!D25%</f>
        <v>109.50668943564182</v>
      </c>
      <c r="E56" s="268">
        <f>(WPF!F14+WPF!F24)/'Prognoza długu'!E25%</f>
        <v>106.72050576264483</v>
      </c>
      <c r="F56" s="274">
        <f>(WPF!G14+WPF!G24)/'Prognoza długu'!F25%</f>
        <v>104.1730602989888</v>
      </c>
      <c r="G56" s="123">
        <f>(WPF!H14+WPF!H24)/'Prognoza długu'!G25%</f>
        <v>100.11960875068894</v>
      </c>
      <c r="H56" s="123">
        <f>(WPF!I14+WPF!I24)/'Prognoza długu'!H25%</f>
        <v>111.64956378524384</v>
      </c>
      <c r="I56" s="123">
        <f>(WPF!J14+WPF!J24)/'Prognoza długu'!I25%</f>
        <v>111.20452338698301</v>
      </c>
      <c r="J56" s="123">
        <f>(WPF!K14+WPF!K24)/'Prognoza długu'!J25%</f>
        <v>116.60613189196255</v>
      </c>
      <c r="K56" s="123">
        <f>(WPF!L14+WPF!L24)/'Prognoza długu'!K25%</f>
        <v>119.64644403533887</v>
      </c>
      <c r="L56" s="123">
        <f>(WPF!M14+WPF!M24)/'Prognoza długu'!L25%</f>
        <v>123.4695974060033</v>
      </c>
      <c r="M56" s="123">
        <f>(WPF!N14+WPF!N24)/'Prognoza długu'!M25%</f>
        <v>128.4718979631137</v>
      </c>
      <c r="N56" s="123">
        <f>(WPF!O14+WPF!O24)/'Prognoza długu'!N25%</f>
        <v>125.75940443829586</v>
      </c>
      <c r="O56" s="123">
        <f>(WPF!P14+WPF!P24)/'Prognoza długu'!O25%</f>
        <v>126.31959061137681</v>
      </c>
      <c r="P56" s="123">
        <f>(WPF!Q14+WPF!Q24)/'Prognoza długu'!P25%</f>
        <v>125.6169928715724</v>
      </c>
    </row>
    <row r="57" spans="1:16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A39:A41"/>
    <mergeCell ref="B39:B41"/>
    <mergeCell ref="D39:P39"/>
    <mergeCell ref="F40:P40"/>
    <mergeCell ref="A6:P6"/>
    <mergeCell ref="A7:A9"/>
    <mergeCell ref="B7:B9"/>
    <mergeCell ref="C40:E40"/>
    <mergeCell ref="F8:P8"/>
    <mergeCell ref="C8:E8"/>
    <mergeCell ref="C7:P7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7"/>
  <sheetViews>
    <sheetView zoomScale="80" zoomScaleNormal="80" zoomScalePageLayoutView="75" workbookViewId="0" topLeftCell="A1">
      <selection activeCell="I34" sqref="I34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24" customWidth="1"/>
    <col min="4" max="5" width="8.28125" style="24" customWidth="1"/>
    <col min="6" max="6" width="5.28125" style="24" customWidth="1"/>
    <col min="7" max="7" width="7.00390625" style="24" customWidth="1"/>
    <col min="8" max="8" width="8.8515625" style="24" customWidth="1"/>
    <col min="9" max="9" width="14.140625" style="24" customWidth="1"/>
    <col min="10" max="11" width="12.8515625" style="24" customWidth="1"/>
    <col min="12" max="12" width="13.00390625" style="24" customWidth="1"/>
    <col min="13" max="13" width="12.57421875" style="24" customWidth="1"/>
    <col min="14" max="14" width="12.7109375" style="24" customWidth="1"/>
    <col min="15" max="15" width="12.57421875" style="24" customWidth="1"/>
    <col min="16" max="16" width="12.28125" style="24" customWidth="1"/>
    <col min="17" max="17" width="14.421875" style="0" customWidth="1"/>
    <col min="18" max="18" width="13.8515625" style="0" bestFit="1" customWidth="1"/>
    <col min="19" max="19" width="11.8515625" style="0" bestFit="1" customWidth="1"/>
  </cols>
  <sheetData>
    <row r="1" spans="1:17" s="26" customFormat="1" ht="15" customHeight="1">
      <c r="A1" s="247"/>
      <c r="B1" s="125"/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5"/>
      <c r="O1" s="47" t="s">
        <v>141</v>
      </c>
      <c r="P1" s="47"/>
      <c r="Q1" s="125"/>
    </row>
    <row r="2" spans="1:17" s="28" customFormat="1" ht="4.5" customHeight="1">
      <c r="A2" s="247"/>
      <c r="B2" s="125"/>
      <c r="C2" s="125"/>
      <c r="D2" s="125"/>
      <c r="E2" s="125"/>
      <c r="F2" s="125"/>
      <c r="G2" s="127"/>
      <c r="H2" s="125"/>
      <c r="I2" s="125"/>
      <c r="J2" s="125"/>
      <c r="K2" s="125"/>
      <c r="L2" s="125"/>
      <c r="M2" s="125"/>
      <c r="N2" s="125"/>
      <c r="O2" s="52"/>
      <c r="P2" s="53"/>
      <c r="Q2" s="125"/>
    </row>
    <row r="3" spans="1:17" s="28" customFormat="1" ht="12.75" customHeight="1">
      <c r="A3" s="247"/>
      <c r="B3" s="125"/>
      <c r="C3" s="125"/>
      <c r="D3" s="125"/>
      <c r="E3" s="125"/>
      <c r="F3" s="125"/>
      <c r="G3" s="128"/>
      <c r="H3" s="125"/>
      <c r="I3" s="125"/>
      <c r="J3" s="125"/>
      <c r="K3" s="125"/>
      <c r="L3" s="125"/>
      <c r="M3" s="125"/>
      <c r="N3" s="125"/>
      <c r="O3" s="57" t="s">
        <v>433</v>
      </c>
      <c r="P3" s="53"/>
      <c r="Q3" s="125"/>
    </row>
    <row r="4" spans="1:17" s="28" customFormat="1" ht="12.75" customHeight="1">
      <c r="A4" s="247"/>
      <c r="B4" s="125"/>
      <c r="C4" s="125"/>
      <c r="D4" s="125"/>
      <c r="E4" s="125"/>
      <c r="F4" s="125"/>
      <c r="G4" s="128"/>
      <c r="H4" s="125"/>
      <c r="I4" s="125"/>
      <c r="J4" s="125"/>
      <c r="K4" s="125"/>
      <c r="L4" s="125"/>
      <c r="M4" s="125"/>
      <c r="N4" s="125"/>
      <c r="O4" s="57" t="s">
        <v>49</v>
      </c>
      <c r="P4" s="53"/>
      <c r="Q4" s="125"/>
    </row>
    <row r="5" spans="1:17" s="28" customFormat="1" ht="16.5" customHeight="1">
      <c r="A5" s="247"/>
      <c r="B5" s="125"/>
      <c r="C5" s="125"/>
      <c r="D5" s="125"/>
      <c r="E5" s="125"/>
      <c r="F5" s="125"/>
      <c r="G5" s="128"/>
      <c r="H5" s="125"/>
      <c r="I5" s="125"/>
      <c r="J5" s="345"/>
      <c r="K5" s="125"/>
      <c r="L5" s="125"/>
      <c r="M5" s="125"/>
      <c r="N5" s="125"/>
      <c r="O5" s="57" t="s">
        <v>434</v>
      </c>
      <c r="P5" s="53"/>
      <c r="Q5" s="125"/>
    </row>
    <row r="6" spans="1:17" s="28" customFormat="1" ht="9" customHeight="1">
      <c r="A6" s="247"/>
      <c r="B6" s="125"/>
      <c r="C6" s="125"/>
      <c r="D6" s="125"/>
      <c r="E6" s="125"/>
      <c r="F6" s="125"/>
      <c r="G6" s="128"/>
      <c r="H6" s="125"/>
      <c r="I6" s="125"/>
      <c r="J6" s="345"/>
      <c r="K6" s="125"/>
      <c r="L6" s="125"/>
      <c r="M6" s="125"/>
      <c r="N6" s="125"/>
      <c r="O6" s="57"/>
      <c r="P6" s="53"/>
      <c r="Q6" s="125"/>
    </row>
    <row r="7" spans="1:17" s="28" customFormat="1" ht="12.75" customHeight="1">
      <c r="A7" s="748" t="s">
        <v>295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50"/>
    </row>
    <row r="8" spans="1:17" s="28" customFormat="1" ht="12.75" customHeight="1" thickBot="1">
      <c r="A8" s="751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3"/>
    </row>
    <row r="9" spans="1:17" s="28" customFormat="1" ht="12.75" customHeight="1">
      <c r="A9" s="756" t="s">
        <v>110</v>
      </c>
      <c r="B9" s="758" t="s">
        <v>142</v>
      </c>
      <c r="C9" s="759" t="s">
        <v>143</v>
      </c>
      <c r="D9" s="754" t="s">
        <v>226</v>
      </c>
      <c r="E9" s="754"/>
      <c r="F9" s="754" t="s">
        <v>144</v>
      </c>
      <c r="G9" s="754"/>
      <c r="H9" s="754"/>
      <c r="I9" s="757" t="s">
        <v>145</v>
      </c>
      <c r="J9" s="755" t="s">
        <v>294</v>
      </c>
      <c r="K9" s="755"/>
      <c r="L9" s="755"/>
      <c r="M9" s="755"/>
      <c r="N9" s="755"/>
      <c r="O9" s="755"/>
      <c r="P9" s="755"/>
      <c r="Q9" s="769" t="s">
        <v>146</v>
      </c>
    </row>
    <row r="10" spans="1:17" s="28" customFormat="1" ht="11.25" customHeight="1">
      <c r="A10" s="716"/>
      <c r="B10" s="720"/>
      <c r="C10" s="723"/>
      <c r="D10" s="727"/>
      <c r="E10" s="727"/>
      <c r="F10" s="727"/>
      <c r="G10" s="727"/>
      <c r="H10" s="727"/>
      <c r="I10" s="703"/>
      <c r="J10" s="710">
        <v>2012</v>
      </c>
      <c r="K10" s="711"/>
      <c r="L10" s="711"/>
      <c r="M10" s="712">
        <v>2013</v>
      </c>
      <c r="N10" s="712">
        <v>2014</v>
      </c>
      <c r="O10" s="712">
        <v>2015</v>
      </c>
      <c r="P10" s="712">
        <v>2016</v>
      </c>
      <c r="Q10" s="707"/>
    </row>
    <row r="11" spans="1:17" s="28" customFormat="1" ht="11.25" customHeight="1">
      <c r="A11" s="717"/>
      <c r="B11" s="721"/>
      <c r="C11" s="724"/>
      <c r="D11" s="700" t="s">
        <v>147</v>
      </c>
      <c r="E11" s="700" t="s">
        <v>148</v>
      </c>
      <c r="F11" s="700" t="s">
        <v>149</v>
      </c>
      <c r="G11" s="700" t="s">
        <v>150</v>
      </c>
      <c r="H11" s="700" t="s">
        <v>151</v>
      </c>
      <c r="I11" s="704"/>
      <c r="J11" s="710"/>
      <c r="K11" s="711"/>
      <c r="L11" s="711"/>
      <c r="M11" s="713"/>
      <c r="N11" s="713"/>
      <c r="O11" s="713"/>
      <c r="P11" s="713"/>
      <c r="Q11" s="708"/>
    </row>
    <row r="12" spans="1:17" s="28" customFormat="1" ht="20.25" customHeight="1" thickBot="1">
      <c r="A12" s="718"/>
      <c r="B12" s="701"/>
      <c r="C12" s="725"/>
      <c r="D12" s="701"/>
      <c r="E12" s="701"/>
      <c r="F12" s="701"/>
      <c r="G12" s="701"/>
      <c r="H12" s="701"/>
      <c r="I12" s="701"/>
      <c r="J12" s="326" t="s">
        <v>291</v>
      </c>
      <c r="K12" s="326" t="s">
        <v>292</v>
      </c>
      <c r="L12" s="326" t="s">
        <v>293</v>
      </c>
      <c r="M12" s="714"/>
      <c r="N12" s="714"/>
      <c r="O12" s="714"/>
      <c r="P12" s="714"/>
      <c r="Q12" s="709"/>
    </row>
    <row r="13" spans="1:18" s="431" customFormat="1" ht="26.25" customHeight="1">
      <c r="A13" s="460"/>
      <c r="B13" s="426" t="s">
        <v>152</v>
      </c>
      <c r="C13" s="427" t="s">
        <v>79</v>
      </c>
      <c r="D13" s="427" t="s">
        <v>79</v>
      </c>
      <c r="E13" s="427" t="s">
        <v>79</v>
      </c>
      <c r="F13" s="427"/>
      <c r="G13" s="427"/>
      <c r="H13" s="427"/>
      <c r="I13" s="428">
        <f aca="true" t="shared" si="0" ref="I13:P13">I14+I15</f>
        <v>254267333</v>
      </c>
      <c r="J13" s="429">
        <f t="shared" si="0"/>
        <v>66747878</v>
      </c>
      <c r="K13" s="429">
        <f>K14+K15</f>
        <v>-10205724</v>
      </c>
      <c r="L13" s="429">
        <f>L14+L15</f>
        <v>56542154</v>
      </c>
      <c r="M13" s="428">
        <f t="shared" si="0"/>
        <v>63307195</v>
      </c>
      <c r="N13" s="428">
        <f>N14+N15</f>
        <v>49522718</v>
      </c>
      <c r="O13" s="428">
        <f t="shared" si="0"/>
        <v>32907800</v>
      </c>
      <c r="P13" s="428">
        <f t="shared" si="0"/>
        <v>38826000</v>
      </c>
      <c r="Q13" s="461">
        <f>SUM(L13:P13)</f>
        <v>241105867</v>
      </c>
      <c r="R13" s="430">
        <f>Q14+Q15</f>
        <v>241105867</v>
      </c>
    </row>
    <row r="14" spans="1:17" s="29" customFormat="1" ht="24.75" customHeight="1">
      <c r="A14" s="462"/>
      <c r="B14" s="129" t="s">
        <v>153</v>
      </c>
      <c r="C14" s="75" t="s">
        <v>79</v>
      </c>
      <c r="D14" s="75" t="s">
        <v>79</v>
      </c>
      <c r="E14" s="75" t="s">
        <v>79</v>
      </c>
      <c r="F14" s="75"/>
      <c r="G14" s="75"/>
      <c r="H14" s="75"/>
      <c r="I14" s="130">
        <f aca="true" t="shared" si="1" ref="I14:P14">I117</f>
        <v>60933824</v>
      </c>
      <c r="J14" s="327">
        <f t="shared" si="1"/>
        <v>15507598</v>
      </c>
      <c r="K14" s="327">
        <f>K117</f>
        <v>0</v>
      </c>
      <c r="L14" s="327">
        <f>L117</f>
        <v>15507598</v>
      </c>
      <c r="M14" s="130">
        <f t="shared" si="1"/>
        <v>15927944</v>
      </c>
      <c r="N14" s="130">
        <f t="shared" si="1"/>
        <v>16202718</v>
      </c>
      <c r="O14" s="130">
        <f t="shared" si="1"/>
        <v>9236800</v>
      </c>
      <c r="P14" s="130">
        <f t="shared" si="1"/>
        <v>3881000</v>
      </c>
      <c r="Q14" s="463">
        <f>SUM(L14:P14)</f>
        <v>60756060</v>
      </c>
    </row>
    <row r="15" spans="1:18" s="29" customFormat="1" ht="24.75" customHeight="1">
      <c r="A15" s="462"/>
      <c r="B15" s="129" t="s">
        <v>154</v>
      </c>
      <c r="C15" s="75" t="s">
        <v>79</v>
      </c>
      <c r="D15" s="75" t="s">
        <v>79</v>
      </c>
      <c r="E15" s="75" t="s">
        <v>79</v>
      </c>
      <c r="F15" s="75"/>
      <c r="G15" s="75"/>
      <c r="H15" s="75"/>
      <c r="I15" s="130">
        <f aca="true" t="shared" si="2" ref="I15:P16">I16</f>
        <v>193333509</v>
      </c>
      <c r="J15" s="327">
        <f t="shared" si="2"/>
        <v>51240280</v>
      </c>
      <c r="K15" s="327">
        <f t="shared" si="2"/>
        <v>-10205724</v>
      </c>
      <c r="L15" s="327">
        <f t="shared" si="2"/>
        <v>41034556</v>
      </c>
      <c r="M15" s="130">
        <f t="shared" si="2"/>
        <v>47379251</v>
      </c>
      <c r="N15" s="130">
        <f t="shared" si="2"/>
        <v>33320000</v>
      </c>
      <c r="O15" s="130">
        <f t="shared" si="2"/>
        <v>23671000</v>
      </c>
      <c r="P15" s="130">
        <f t="shared" si="2"/>
        <v>34945000</v>
      </c>
      <c r="Q15" s="463">
        <f>SUM(L15:P15)</f>
        <v>180349807</v>
      </c>
      <c r="R15" s="338">
        <f>J13+K13</f>
        <v>56542154</v>
      </c>
    </row>
    <row r="16" spans="1:18" s="437" customFormat="1" ht="39.75" customHeight="1">
      <c r="A16" s="464" t="s">
        <v>155</v>
      </c>
      <c r="B16" s="432" t="s">
        <v>419</v>
      </c>
      <c r="C16" s="433" t="s">
        <v>79</v>
      </c>
      <c r="D16" s="433" t="s">
        <v>79</v>
      </c>
      <c r="E16" s="433" t="s">
        <v>79</v>
      </c>
      <c r="F16" s="433"/>
      <c r="G16" s="433"/>
      <c r="H16" s="433"/>
      <c r="I16" s="434">
        <f>I17</f>
        <v>193333509</v>
      </c>
      <c r="J16" s="435">
        <f t="shared" si="2"/>
        <v>51240280</v>
      </c>
      <c r="K16" s="435">
        <f t="shared" si="2"/>
        <v>-10205724</v>
      </c>
      <c r="L16" s="435">
        <f t="shared" si="2"/>
        <v>41034556</v>
      </c>
      <c r="M16" s="434">
        <f t="shared" si="2"/>
        <v>47379251</v>
      </c>
      <c r="N16" s="434">
        <f>N17</f>
        <v>33320000</v>
      </c>
      <c r="O16" s="434">
        <f>O17</f>
        <v>23671000</v>
      </c>
      <c r="P16" s="434">
        <f>P17</f>
        <v>34945000</v>
      </c>
      <c r="Q16" s="465">
        <f>SUM(L16:P16)</f>
        <v>180349807</v>
      </c>
      <c r="R16" s="436">
        <f>J17+K17</f>
        <v>41034556</v>
      </c>
    </row>
    <row r="17" spans="1:21" s="29" customFormat="1" ht="25.5" customHeight="1">
      <c r="A17" s="462"/>
      <c r="B17" s="129" t="s">
        <v>154</v>
      </c>
      <c r="C17" s="75" t="s">
        <v>79</v>
      </c>
      <c r="D17" s="75" t="s">
        <v>79</v>
      </c>
      <c r="E17" s="75" t="s">
        <v>79</v>
      </c>
      <c r="F17" s="75"/>
      <c r="G17" s="75"/>
      <c r="H17" s="75"/>
      <c r="I17" s="130">
        <f aca="true" t="shared" si="3" ref="I17:Q17">I19+I70</f>
        <v>193333509</v>
      </c>
      <c r="J17" s="327">
        <f t="shared" si="3"/>
        <v>51240280</v>
      </c>
      <c r="K17" s="327">
        <f t="shared" si="3"/>
        <v>-10205724</v>
      </c>
      <c r="L17" s="327">
        <f t="shared" si="3"/>
        <v>41034556</v>
      </c>
      <c r="M17" s="130">
        <f t="shared" si="3"/>
        <v>47379251</v>
      </c>
      <c r="N17" s="130">
        <f t="shared" si="3"/>
        <v>33320000</v>
      </c>
      <c r="O17" s="130">
        <f t="shared" si="3"/>
        <v>23671000</v>
      </c>
      <c r="P17" s="130">
        <f t="shared" si="3"/>
        <v>34945000</v>
      </c>
      <c r="Q17" s="466">
        <f t="shared" si="3"/>
        <v>180349807</v>
      </c>
      <c r="R17" s="245">
        <f>R20+R42+R50+R71+R117</f>
        <v>241105867</v>
      </c>
      <c r="S17" s="245">
        <f>R17-Q13</f>
        <v>0</v>
      </c>
      <c r="T17" s="31"/>
      <c r="U17" s="31"/>
    </row>
    <row r="18" spans="1:28" s="440" customFormat="1" ht="62.25" customHeight="1">
      <c r="A18" s="464" t="s">
        <v>156</v>
      </c>
      <c r="B18" s="432" t="s">
        <v>157</v>
      </c>
      <c r="C18" s="433" t="s">
        <v>79</v>
      </c>
      <c r="D18" s="433" t="s">
        <v>79</v>
      </c>
      <c r="E18" s="433" t="s">
        <v>79</v>
      </c>
      <c r="F18" s="433"/>
      <c r="G18" s="433"/>
      <c r="H18" s="433"/>
      <c r="I18" s="434">
        <f aca="true" t="shared" si="4" ref="I18:P18">I19</f>
        <v>171494957</v>
      </c>
      <c r="J18" s="435">
        <f t="shared" si="4"/>
        <v>44233317</v>
      </c>
      <c r="K18" s="435">
        <f t="shared" si="4"/>
        <v>-8151824</v>
      </c>
      <c r="L18" s="435">
        <f t="shared" si="4"/>
        <v>36081493</v>
      </c>
      <c r="M18" s="434">
        <f t="shared" si="4"/>
        <v>38389871</v>
      </c>
      <c r="N18" s="434">
        <f t="shared" si="4"/>
        <v>28230000</v>
      </c>
      <c r="O18" s="434">
        <f t="shared" si="4"/>
        <v>22365000</v>
      </c>
      <c r="P18" s="434">
        <f t="shared" si="4"/>
        <v>33645000</v>
      </c>
      <c r="Q18" s="465">
        <f>SUM(L18:P18)</f>
        <v>158711364</v>
      </c>
      <c r="R18" s="438"/>
      <c r="S18" s="438"/>
      <c r="T18" s="438"/>
      <c r="U18" s="438"/>
      <c r="V18" s="439"/>
      <c r="W18" s="439"/>
      <c r="X18" s="439"/>
      <c r="Y18" s="439"/>
      <c r="Z18" s="439"/>
      <c r="AA18" s="439"/>
      <c r="AB18" s="439"/>
    </row>
    <row r="19" spans="1:18" s="29" customFormat="1" ht="25.5" customHeight="1">
      <c r="A19" s="462"/>
      <c r="B19" s="129" t="s">
        <v>154</v>
      </c>
      <c r="C19" s="75" t="s">
        <v>79</v>
      </c>
      <c r="D19" s="75" t="s">
        <v>79</v>
      </c>
      <c r="E19" s="75" t="s">
        <v>79</v>
      </c>
      <c r="F19" s="75"/>
      <c r="G19" s="75"/>
      <c r="H19" s="75"/>
      <c r="I19" s="130">
        <f aca="true" t="shared" si="5" ref="I19:Q19">I20+I42+I50</f>
        <v>171494957</v>
      </c>
      <c r="J19" s="327">
        <f t="shared" si="5"/>
        <v>44233317</v>
      </c>
      <c r="K19" s="327">
        <f t="shared" si="5"/>
        <v>-8151824</v>
      </c>
      <c r="L19" s="327">
        <f t="shared" si="5"/>
        <v>36081493</v>
      </c>
      <c r="M19" s="130">
        <f t="shared" si="5"/>
        <v>38389871</v>
      </c>
      <c r="N19" s="130">
        <f>N20+N42+N50</f>
        <v>28230000</v>
      </c>
      <c r="O19" s="130">
        <f t="shared" si="5"/>
        <v>22365000</v>
      </c>
      <c r="P19" s="130">
        <f t="shared" si="5"/>
        <v>33645000</v>
      </c>
      <c r="Q19" s="466">
        <f t="shared" si="5"/>
        <v>158711364</v>
      </c>
      <c r="R19" s="243">
        <f>SUM(L19:P19)</f>
        <v>158711364</v>
      </c>
    </row>
    <row r="20" spans="1:18" s="446" customFormat="1" ht="30.75" customHeight="1">
      <c r="A20" s="467" t="s">
        <v>158</v>
      </c>
      <c r="B20" s="441" t="s">
        <v>159</v>
      </c>
      <c r="C20" s="442" t="s">
        <v>160</v>
      </c>
      <c r="D20" s="443">
        <v>2004</v>
      </c>
      <c r="E20" s="443">
        <v>2016</v>
      </c>
      <c r="F20" s="761" t="s">
        <v>228</v>
      </c>
      <c r="G20" s="761"/>
      <c r="H20" s="761"/>
      <c r="I20" s="444">
        <f>I21+I26+I30+I31+I32+I33+I34+I41</f>
        <v>65425691</v>
      </c>
      <c r="J20" s="444">
        <f>J21+J26+J30+J31+J32+J33+J34+J41</f>
        <v>15061032</v>
      </c>
      <c r="K20" s="444">
        <f>K21+K26+K30+K31+K32+K33+K34+K41</f>
        <v>-5474769</v>
      </c>
      <c r="L20" s="444">
        <f>L21+L26+L30+L31+L32+L33+L34+L41</f>
        <v>9586263</v>
      </c>
      <c r="M20" s="444">
        <f>M26+M21+M41+M32+M31+M30+M33+M34</f>
        <v>11190716</v>
      </c>
      <c r="N20" s="444">
        <f>N26+N21+N41+N32+N31+N30+N33+N34</f>
        <v>23085000</v>
      </c>
      <c r="O20" s="444">
        <f>O26+O21+O41+O32+O31+O30+O33+O34</f>
        <v>7965000</v>
      </c>
      <c r="P20" s="444">
        <f>P26+P21+P41+P32+P31+P30+P33+P34</f>
        <v>4645000</v>
      </c>
      <c r="Q20" s="468">
        <f>Q26+Q21+SUM(Q30:Q34,Q41)</f>
        <v>56471979</v>
      </c>
      <c r="R20" s="445">
        <f>SUM(L20:P20)</f>
        <v>56471979</v>
      </c>
    </row>
    <row r="21" spans="1:18" s="19" customFormat="1" ht="25.5" customHeight="1">
      <c r="A21" s="469" t="s">
        <v>161</v>
      </c>
      <c r="B21" s="762" t="s">
        <v>162</v>
      </c>
      <c r="C21" s="344" t="s">
        <v>163</v>
      </c>
      <c r="D21" s="425">
        <v>2004</v>
      </c>
      <c r="E21" s="425">
        <v>2016</v>
      </c>
      <c r="F21" s="764" t="s">
        <v>164</v>
      </c>
      <c r="G21" s="764"/>
      <c r="H21" s="764"/>
      <c r="I21" s="132">
        <f>SUM(I22:I25)</f>
        <v>44696941</v>
      </c>
      <c r="J21" s="327">
        <f>SUM(J22:J25)</f>
        <v>10775250</v>
      </c>
      <c r="K21" s="327">
        <f>SUM(K22:K25)</f>
        <v>-4196948</v>
      </c>
      <c r="L21" s="327">
        <f>J21+K21</f>
        <v>6578302</v>
      </c>
      <c r="M21" s="132">
        <f>SUM(M22:M25)</f>
        <v>7870716</v>
      </c>
      <c r="N21" s="132">
        <f>SUM(N22:N25)</f>
        <v>12150000</v>
      </c>
      <c r="O21" s="132">
        <f>SUM(O22:O25)</f>
        <v>7925000</v>
      </c>
      <c r="P21" s="132">
        <f>SUM(P22:P25)</f>
        <v>4500000</v>
      </c>
      <c r="Q21" s="463">
        <f>SUM(L21:P21)</f>
        <v>39024018</v>
      </c>
      <c r="R21" s="23">
        <f>SUM(Q22:Q25)</f>
        <v>39024018</v>
      </c>
    </row>
    <row r="22" spans="1:17" s="19" customFormat="1" ht="15" customHeight="1">
      <c r="A22" s="470"/>
      <c r="B22" s="763"/>
      <c r="C22" s="418"/>
      <c r="D22" s="418"/>
      <c r="E22" s="418"/>
      <c r="F22" s="695" t="s">
        <v>165</v>
      </c>
      <c r="G22" s="695" t="s">
        <v>166</v>
      </c>
      <c r="H22" s="695">
        <v>6050</v>
      </c>
      <c r="I22" s="697">
        <f>Q22+1903936</f>
        <v>21897654</v>
      </c>
      <c r="J22" s="698">
        <v>5237710</v>
      </c>
      <c r="K22" s="328">
        <v>-3186948</v>
      </c>
      <c r="L22" s="699">
        <f>J22+K22+K23</f>
        <v>2716762</v>
      </c>
      <c r="M22" s="690">
        <v>4716956</v>
      </c>
      <c r="N22" s="690">
        <v>4560000</v>
      </c>
      <c r="O22" s="690">
        <v>6500000</v>
      </c>
      <c r="P22" s="692">
        <v>1500000</v>
      </c>
      <c r="Q22" s="693">
        <f>SUM(L22:P22)</f>
        <v>19993718</v>
      </c>
    </row>
    <row r="23" spans="1:17" s="19" customFormat="1" ht="15" customHeight="1">
      <c r="A23" s="470"/>
      <c r="B23" s="562"/>
      <c r="C23" s="561"/>
      <c r="D23" s="561"/>
      <c r="E23" s="561"/>
      <c r="F23" s="696"/>
      <c r="G23" s="696"/>
      <c r="H23" s="696"/>
      <c r="I23" s="696"/>
      <c r="J23" s="696"/>
      <c r="K23" s="342">
        <v>666000</v>
      </c>
      <c r="L23" s="691"/>
      <c r="M23" s="691"/>
      <c r="N23" s="691"/>
      <c r="O23" s="691"/>
      <c r="P23" s="691"/>
      <c r="Q23" s="694"/>
    </row>
    <row r="24" spans="1:17" s="19" customFormat="1" ht="25.5" customHeight="1">
      <c r="A24" s="470"/>
      <c r="B24" s="424"/>
      <c r="C24" s="418"/>
      <c r="D24" s="418"/>
      <c r="E24" s="418"/>
      <c r="F24" s="137"/>
      <c r="G24" s="137"/>
      <c r="H24" s="137">
        <v>6058</v>
      </c>
      <c r="I24" s="138">
        <f>Q24</f>
        <v>12057999</v>
      </c>
      <c r="J24" s="329">
        <v>3457999</v>
      </c>
      <c r="K24" s="329">
        <v>-1000000</v>
      </c>
      <c r="L24" s="335">
        <f aca="true" t="shared" si="6" ref="L24:L45">J24+K24</f>
        <v>2457999</v>
      </c>
      <c r="M24" s="139">
        <v>0</v>
      </c>
      <c r="N24" s="140">
        <v>7175000</v>
      </c>
      <c r="O24" s="140">
        <v>425000</v>
      </c>
      <c r="P24" s="140">
        <v>2000000</v>
      </c>
      <c r="Q24" s="472">
        <f>SUM(L24:P24)</f>
        <v>12057999</v>
      </c>
    </row>
    <row r="25" spans="1:17" s="19" customFormat="1" ht="25.5" customHeight="1">
      <c r="A25" s="473"/>
      <c r="B25" s="252"/>
      <c r="C25" s="419"/>
      <c r="D25" s="419"/>
      <c r="E25" s="419"/>
      <c r="F25" s="141"/>
      <c r="G25" s="141"/>
      <c r="H25" s="141">
        <v>6059</v>
      </c>
      <c r="I25" s="142">
        <f>Q25+3768987</f>
        <v>10741288</v>
      </c>
      <c r="J25" s="337">
        <v>2079541</v>
      </c>
      <c r="K25" s="330">
        <v>-676000</v>
      </c>
      <c r="L25" s="336">
        <f>J25+K25</f>
        <v>1403541</v>
      </c>
      <c r="M25" s="143">
        <v>3153760</v>
      </c>
      <c r="N25" s="143">
        <v>415000</v>
      </c>
      <c r="O25" s="143">
        <v>1000000</v>
      </c>
      <c r="P25" s="144">
        <v>1000000</v>
      </c>
      <c r="Q25" s="472">
        <f>SUM(L25:P25)</f>
        <v>6972301</v>
      </c>
    </row>
    <row r="26" spans="1:18" s="19" customFormat="1" ht="25.5" customHeight="1">
      <c r="A26" s="469" t="s">
        <v>167</v>
      </c>
      <c r="B26" s="762" t="s">
        <v>168</v>
      </c>
      <c r="C26" s="344" t="s">
        <v>163</v>
      </c>
      <c r="D26" s="344">
        <v>2004</v>
      </c>
      <c r="E26" s="344">
        <v>2014</v>
      </c>
      <c r="F26" s="764" t="s">
        <v>164</v>
      </c>
      <c r="G26" s="764"/>
      <c r="H26" s="764"/>
      <c r="I26" s="132">
        <f>SUM(I27:I29)</f>
        <v>17323781</v>
      </c>
      <c r="J26" s="327">
        <f>SUM(J27:J29)</f>
        <v>1390902</v>
      </c>
      <c r="K26" s="327">
        <f>SUM(K27:K29)</f>
        <v>-1179821</v>
      </c>
      <c r="L26" s="327">
        <f>J26+K26</f>
        <v>211081</v>
      </c>
      <c r="M26" s="132">
        <f>SUM(M27:M29)</f>
        <v>3305000</v>
      </c>
      <c r="N26" s="132">
        <f>SUM(N27:N29)</f>
        <v>10535000</v>
      </c>
      <c r="O26" s="425">
        <v>0</v>
      </c>
      <c r="P26" s="425">
        <v>0</v>
      </c>
      <c r="Q26" s="463">
        <f>SUM(L26:O26)</f>
        <v>14051081</v>
      </c>
      <c r="R26" s="23">
        <f>Q27+Q28+Q29</f>
        <v>14051081</v>
      </c>
    </row>
    <row r="27" spans="1:18" s="19" customFormat="1" ht="23.25" customHeight="1">
      <c r="A27" s="470"/>
      <c r="B27" s="763"/>
      <c r="C27" s="418"/>
      <c r="D27" s="418"/>
      <c r="E27" s="418"/>
      <c r="F27" s="133" t="s">
        <v>165</v>
      </c>
      <c r="G27" s="133" t="s">
        <v>166</v>
      </c>
      <c r="H27" s="133">
        <v>6050</v>
      </c>
      <c r="I27" s="134">
        <f>L27+M27+3272700+N27</f>
        <v>5218781</v>
      </c>
      <c r="J27" s="328">
        <v>1390902</v>
      </c>
      <c r="K27" s="328">
        <v>-1179821</v>
      </c>
      <c r="L27" s="334">
        <f t="shared" si="6"/>
        <v>211081</v>
      </c>
      <c r="M27" s="135">
        <v>1135000</v>
      </c>
      <c r="N27" s="135">
        <v>600000</v>
      </c>
      <c r="O27" s="136"/>
      <c r="P27" s="136"/>
      <c r="Q27" s="471">
        <f>SUM(L27:O27)</f>
        <v>1946081</v>
      </c>
      <c r="R27" s="23">
        <f>J26+K26</f>
        <v>211081</v>
      </c>
    </row>
    <row r="28" spans="1:17" s="19" customFormat="1" ht="23.25" customHeight="1">
      <c r="A28" s="470"/>
      <c r="B28" s="253"/>
      <c r="C28" s="418"/>
      <c r="D28" s="418"/>
      <c r="E28" s="418"/>
      <c r="F28" s="137"/>
      <c r="G28" s="137"/>
      <c r="H28" s="137">
        <v>6058</v>
      </c>
      <c r="I28" s="138">
        <f>Q28</f>
        <v>6835000</v>
      </c>
      <c r="J28" s="329">
        <v>0</v>
      </c>
      <c r="K28" s="329"/>
      <c r="L28" s="335">
        <f t="shared" si="6"/>
        <v>0</v>
      </c>
      <c r="M28" s="139">
        <v>0</v>
      </c>
      <c r="N28" s="140">
        <v>6835000</v>
      </c>
      <c r="O28" s="140"/>
      <c r="P28" s="140"/>
      <c r="Q28" s="472">
        <f>SUM(L28:O28)</f>
        <v>6835000</v>
      </c>
    </row>
    <row r="29" spans="1:17" s="19" customFormat="1" ht="23.25" customHeight="1">
      <c r="A29" s="473"/>
      <c r="B29" s="252"/>
      <c r="C29" s="246"/>
      <c r="D29" s="246"/>
      <c r="E29" s="419"/>
      <c r="F29" s="141"/>
      <c r="G29" s="141"/>
      <c r="H29" s="141">
        <v>6059</v>
      </c>
      <c r="I29" s="142">
        <f>L29+M29+N29</f>
        <v>5270000</v>
      </c>
      <c r="J29" s="330">
        <v>0</v>
      </c>
      <c r="K29" s="330"/>
      <c r="L29" s="336">
        <f t="shared" si="6"/>
        <v>0</v>
      </c>
      <c r="M29" s="143">
        <v>2170000</v>
      </c>
      <c r="N29" s="144">
        <v>3100000</v>
      </c>
      <c r="O29" s="144"/>
      <c r="P29" s="144"/>
      <c r="Q29" s="474">
        <f>SUM(L29:O29)</f>
        <v>5270000</v>
      </c>
    </row>
    <row r="30" spans="1:17" s="19" customFormat="1" ht="51.75" customHeight="1">
      <c r="A30" s="473" t="s">
        <v>235</v>
      </c>
      <c r="B30" s="254" t="s">
        <v>241</v>
      </c>
      <c r="C30" s="344" t="s">
        <v>163</v>
      </c>
      <c r="D30" s="419">
        <v>2011</v>
      </c>
      <c r="E30" s="419">
        <v>2012</v>
      </c>
      <c r="F30" s="258" t="s">
        <v>165</v>
      </c>
      <c r="G30" s="258" t="s">
        <v>166</v>
      </c>
      <c r="H30" s="419">
        <v>6050</v>
      </c>
      <c r="I30" s="249">
        <f>L30+3641</f>
        <v>129101</v>
      </c>
      <c r="J30" s="331">
        <v>125460</v>
      </c>
      <c r="K30" s="331"/>
      <c r="L30" s="327">
        <f t="shared" si="6"/>
        <v>125460</v>
      </c>
      <c r="M30" s="250"/>
      <c r="N30" s="251"/>
      <c r="O30" s="251"/>
      <c r="P30" s="251"/>
      <c r="Q30" s="475">
        <f>SUM(L30:P30)</f>
        <v>125460</v>
      </c>
    </row>
    <row r="31" spans="1:17" s="19" customFormat="1" ht="50.25" customHeight="1">
      <c r="A31" s="473" t="s">
        <v>236</v>
      </c>
      <c r="B31" s="254" t="s">
        <v>242</v>
      </c>
      <c r="C31" s="344" t="s">
        <v>163</v>
      </c>
      <c r="D31" s="419">
        <v>2011</v>
      </c>
      <c r="E31" s="419">
        <v>2012</v>
      </c>
      <c r="F31" s="258" t="s">
        <v>165</v>
      </c>
      <c r="G31" s="258" t="s">
        <v>166</v>
      </c>
      <c r="H31" s="419">
        <v>6050</v>
      </c>
      <c r="I31" s="249">
        <f>L31+3604</f>
        <v>247937</v>
      </c>
      <c r="J31" s="331">
        <v>244333</v>
      </c>
      <c r="K31" s="331"/>
      <c r="L31" s="327">
        <f t="shared" si="6"/>
        <v>244333</v>
      </c>
      <c r="M31" s="250"/>
      <c r="N31" s="251"/>
      <c r="O31" s="251"/>
      <c r="P31" s="251"/>
      <c r="Q31" s="474">
        <f>SUM(L31:P31)</f>
        <v>244333</v>
      </c>
    </row>
    <row r="32" spans="1:17" s="19" customFormat="1" ht="35.25" customHeight="1">
      <c r="A32" s="473" t="s">
        <v>239</v>
      </c>
      <c r="B32" s="255" t="s">
        <v>345</v>
      </c>
      <c r="C32" s="344" t="s">
        <v>163</v>
      </c>
      <c r="D32" s="419">
        <v>2012</v>
      </c>
      <c r="E32" s="419">
        <v>2012</v>
      </c>
      <c r="F32" s="419">
        <v>900</v>
      </c>
      <c r="G32" s="419">
        <v>90001</v>
      </c>
      <c r="H32" s="419">
        <v>6050</v>
      </c>
      <c r="I32" s="249">
        <f>Q32</f>
        <v>0</v>
      </c>
      <c r="J32" s="331">
        <v>98000</v>
      </c>
      <c r="K32" s="331">
        <v>-98000</v>
      </c>
      <c r="L32" s="327">
        <f t="shared" si="6"/>
        <v>0</v>
      </c>
      <c r="M32" s="250"/>
      <c r="N32" s="251"/>
      <c r="O32" s="250"/>
      <c r="P32" s="250"/>
      <c r="Q32" s="474">
        <f>SUM(L32:P32)</f>
        <v>0</v>
      </c>
    </row>
    <row r="33" spans="1:17" s="19" customFormat="1" ht="33.75" customHeight="1">
      <c r="A33" s="473" t="s">
        <v>240</v>
      </c>
      <c r="B33" s="254" t="s">
        <v>189</v>
      </c>
      <c r="C33" s="344" t="s">
        <v>264</v>
      </c>
      <c r="D33" s="419">
        <v>2011</v>
      </c>
      <c r="E33" s="419">
        <v>2012</v>
      </c>
      <c r="F33" s="419">
        <v>900</v>
      </c>
      <c r="G33" s="419">
        <v>90001</v>
      </c>
      <c r="H33" s="419">
        <v>6050</v>
      </c>
      <c r="I33" s="249">
        <f>L33+844</f>
        <v>2344906</v>
      </c>
      <c r="J33" s="331">
        <v>2344062</v>
      </c>
      <c r="K33" s="331"/>
      <c r="L33" s="327">
        <f t="shared" si="6"/>
        <v>2344062</v>
      </c>
      <c r="M33" s="250"/>
      <c r="N33" s="251"/>
      <c r="O33" s="251"/>
      <c r="P33" s="251"/>
      <c r="Q33" s="474">
        <f>SUM(L33:P33)</f>
        <v>2344062</v>
      </c>
    </row>
    <row r="34" spans="1:17" s="19" customFormat="1" ht="42.75" customHeight="1">
      <c r="A34" s="476" t="s">
        <v>252</v>
      </c>
      <c r="B34" s="477" t="s">
        <v>346</v>
      </c>
      <c r="C34" s="478" t="s">
        <v>264</v>
      </c>
      <c r="D34" s="479">
        <v>2012</v>
      </c>
      <c r="E34" s="479">
        <v>2016</v>
      </c>
      <c r="F34" s="479">
        <v>900</v>
      </c>
      <c r="G34" s="479">
        <v>90001</v>
      </c>
      <c r="H34" s="479">
        <v>6050</v>
      </c>
      <c r="I34" s="480">
        <f>Q34</f>
        <v>337515</v>
      </c>
      <c r="J34" s="481">
        <v>37515</v>
      </c>
      <c r="K34" s="481"/>
      <c r="L34" s="482">
        <f t="shared" si="6"/>
        <v>37515</v>
      </c>
      <c r="M34" s="483">
        <v>10000</v>
      </c>
      <c r="N34" s="484">
        <v>200000</v>
      </c>
      <c r="O34" s="483">
        <v>20000</v>
      </c>
      <c r="P34" s="483">
        <v>70000</v>
      </c>
      <c r="Q34" s="485">
        <f>SUM(L34:P34)</f>
        <v>337515</v>
      </c>
    </row>
    <row r="35" spans="1:17" s="19" customFormat="1" ht="9" customHeight="1">
      <c r="A35" s="403"/>
      <c r="B35" s="458"/>
      <c r="C35" s="405"/>
      <c r="D35" s="405"/>
      <c r="E35" s="405"/>
      <c r="F35" s="405"/>
      <c r="G35" s="405"/>
      <c r="H35" s="405"/>
      <c r="I35" s="406"/>
      <c r="J35" s="412"/>
      <c r="K35" s="412"/>
      <c r="L35" s="459"/>
      <c r="M35" s="407"/>
      <c r="N35" s="408"/>
      <c r="O35" s="407"/>
      <c r="P35" s="407"/>
      <c r="Q35" s="262"/>
    </row>
    <row r="36" spans="1:17" s="19" customFormat="1" ht="9" customHeight="1">
      <c r="A36" s="403"/>
      <c r="B36" s="458"/>
      <c r="C36" s="405"/>
      <c r="D36" s="405"/>
      <c r="E36" s="405"/>
      <c r="F36" s="405"/>
      <c r="G36" s="405"/>
      <c r="H36" s="405"/>
      <c r="I36" s="406"/>
      <c r="J36" s="412"/>
      <c r="K36" s="412"/>
      <c r="L36" s="459"/>
      <c r="M36" s="407"/>
      <c r="N36" s="408"/>
      <c r="O36" s="407"/>
      <c r="P36" s="407"/>
      <c r="Q36" s="262"/>
    </row>
    <row r="37" spans="1:17" s="28" customFormat="1" ht="12.75" customHeight="1">
      <c r="A37" s="715" t="s">
        <v>110</v>
      </c>
      <c r="B37" s="719" t="s">
        <v>142</v>
      </c>
      <c r="C37" s="722" t="s">
        <v>143</v>
      </c>
      <c r="D37" s="726" t="s">
        <v>226</v>
      </c>
      <c r="E37" s="726"/>
      <c r="F37" s="726" t="s">
        <v>144</v>
      </c>
      <c r="G37" s="726"/>
      <c r="H37" s="726"/>
      <c r="I37" s="702" t="s">
        <v>145</v>
      </c>
      <c r="J37" s="705" t="s">
        <v>294</v>
      </c>
      <c r="K37" s="705"/>
      <c r="L37" s="705"/>
      <c r="M37" s="705"/>
      <c r="N37" s="705"/>
      <c r="O37" s="705"/>
      <c r="P37" s="705"/>
      <c r="Q37" s="706" t="s">
        <v>146</v>
      </c>
    </row>
    <row r="38" spans="1:17" s="28" customFormat="1" ht="11.25" customHeight="1">
      <c r="A38" s="716"/>
      <c r="B38" s="720"/>
      <c r="C38" s="723"/>
      <c r="D38" s="727"/>
      <c r="E38" s="727"/>
      <c r="F38" s="727"/>
      <c r="G38" s="727"/>
      <c r="H38" s="727"/>
      <c r="I38" s="703"/>
      <c r="J38" s="710">
        <v>2012</v>
      </c>
      <c r="K38" s="711"/>
      <c r="L38" s="711"/>
      <c r="M38" s="712">
        <v>2013</v>
      </c>
      <c r="N38" s="712">
        <v>2014</v>
      </c>
      <c r="O38" s="712">
        <v>2015</v>
      </c>
      <c r="P38" s="712">
        <v>2016</v>
      </c>
      <c r="Q38" s="707"/>
    </row>
    <row r="39" spans="1:17" s="28" customFormat="1" ht="11.25" customHeight="1">
      <c r="A39" s="717"/>
      <c r="B39" s="721"/>
      <c r="C39" s="724"/>
      <c r="D39" s="700" t="s">
        <v>147</v>
      </c>
      <c r="E39" s="700" t="s">
        <v>148</v>
      </c>
      <c r="F39" s="700" t="s">
        <v>149</v>
      </c>
      <c r="G39" s="700" t="s">
        <v>150</v>
      </c>
      <c r="H39" s="700" t="s">
        <v>151</v>
      </c>
      <c r="I39" s="704"/>
      <c r="J39" s="710"/>
      <c r="K39" s="711"/>
      <c r="L39" s="711"/>
      <c r="M39" s="713"/>
      <c r="N39" s="713"/>
      <c r="O39" s="713"/>
      <c r="P39" s="713"/>
      <c r="Q39" s="708"/>
    </row>
    <row r="40" spans="1:17" s="28" customFormat="1" ht="20.25" customHeight="1" thickBot="1">
      <c r="A40" s="718"/>
      <c r="B40" s="701"/>
      <c r="C40" s="725"/>
      <c r="D40" s="701"/>
      <c r="E40" s="701"/>
      <c r="F40" s="701"/>
      <c r="G40" s="701"/>
      <c r="H40" s="701"/>
      <c r="I40" s="701"/>
      <c r="J40" s="326" t="s">
        <v>291</v>
      </c>
      <c r="K40" s="326" t="s">
        <v>292</v>
      </c>
      <c r="L40" s="326" t="s">
        <v>293</v>
      </c>
      <c r="M40" s="714"/>
      <c r="N40" s="714"/>
      <c r="O40" s="714"/>
      <c r="P40" s="714"/>
      <c r="Q40" s="709"/>
    </row>
    <row r="41" spans="1:17" s="19" customFormat="1" ht="47.25" customHeight="1">
      <c r="A41" s="473" t="s">
        <v>255</v>
      </c>
      <c r="B41" s="254" t="s">
        <v>347</v>
      </c>
      <c r="C41" s="344" t="s">
        <v>264</v>
      </c>
      <c r="D41" s="419">
        <v>2012</v>
      </c>
      <c r="E41" s="419">
        <v>2016</v>
      </c>
      <c r="F41" s="419">
        <v>900</v>
      </c>
      <c r="G41" s="419">
        <v>90001</v>
      </c>
      <c r="H41" s="419">
        <v>6050</v>
      </c>
      <c r="I41" s="249">
        <f>Q41</f>
        <v>345510</v>
      </c>
      <c r="J41" s="331">
        <v>45510</v>
      </c>
      <c r="K41" s="331"/>
      <c r="L41" s="327">
        <f t="shared" si="6"/>
        <v>45510</v>
      </c>
      <c r="M41" s="250">
        <v>5000</v>
      </c>
      <c r="N41" s="250">
        <v>200000</v>
      </c>
      <c r="O41" s="250">
        <v>20000</v>
      </c>
      <c r="P41" s="250">
        <v>75000</v>
      </c>
      <c r="Q41" s="474">
        <f>SUM(L41:P41)</f>
        <v>345510</v>
      </c>
    </row>
    <row r="42" spans="1:19" s="437" customFormat="1" ht="30.75" customHeight="1">
      <c r="A42" s="486" t="s">
        <v>169</v>
      </c>
      <c r="B42" s="447" t="s">
        <v>170</v>
      </c>
      <c r="C42" s="443" t="s">
        <v>160</v>
      </c>
      <c r="D42" s="443">
        <v>2009</v>
      </c>
      <c r="E42" s="443">
        <v>2015</v>
      </c>
      <c r="F42" s="761" t="s">
        <v>228</v>
      </c>
      <c r="G42" s="761"/>
      <c r="H42" s="761"/>
      <c r="I42" s="444">
        <f aca="true" t="shared" si="7" ref="I42:Q42">SUM(I43:I45,I46:I49)</f>
        <v>8621081</v>
      </c>
      <c r="J42" s="444">
        <f t="shared" si="7"/>
        <v>2475285</v>
      </c>
      <c r="K42" s="444">
        <f t="shared" si="7"/>
        <v>-2347155</v>
      </c>
      <c r="L42" s="444">
        <f t="shared" si="7"/>
        <v>128130</v>
      </c>
      <c r="M42" s="444">
        <f t="shared" si="7"/>
        <v>2092155</v>
      </c>
      <c r="N42" s="444">
        <f t="shared" si="7"/>
        <v>3245000</v>
      </c>
      <c r="O42" s="444">
        <f t="shared" si="7"/>
        <v>3000000</v>
      </c>
      <c r="P42" s="444">
        <f t="shared" si="7"/>
        <v>0</v>
      </c>
      <c r="Q42" s="468">
        <f t="shared" si="7"/>
        <v>8465285</v>
      </c>
      <c r="R42" s="436">
        <f>SUM(L42:P42)</f>
        <v>8465285</v>
      </c>
      <c r="S42" s="436">
        <f>R42-Q42</f>
        <v>0</v>
      </c>
    </row>
    <row r="43" spans="1:19" s="30" customFormat="1" ht="48" customHeight="1">
      <c r="A43" s="487" t="s">
        <v>171</v>
      </c>
      <c r="B43" s="158" t="s">
        <v>191</v>
      </c>
      <c r="C43" s="344" t="s">
        <v>173</v>
      </c>
      <c r="D43" s="344">
        <v>2013</v>
      </c>
      <c r="E43" s="344">
        <v>2015</v>
      </c>
      <c r="F43" s="344">
        <v>700</v>
      </c>
      <c r="G43" s="344">
        <v>70005</v>
      </c>
      <c r="H43" s="344">
        <v>6050</v>
      </c>
      <c r="I43" s="43">
        <f>L43+M43+N43+O43</f>
        <v>2465000</v>
      </c>
      <c r="J43" s="332">
        <v>97000</v>
      </c>
      <c r="K43" s="332">
        <v>-97000</v>
      </c>
      <c r="L43" s="327">
        <f t="shared" si="6"/>
        <v>0</v>
      </c>
      <c r="M43" s="43">
        <v>20000</v>
      </c>
      <c r="N43" s="132">
        <v>445000</v>
      </c>
      <c r="O43" s="132">
        <v>2000000</v>
      </c>
      <c r="P43" s="425">
        <v>0</v>
      </c>
      <c r="Q43" s="463">
        <f>SUM(L43:P43)</f>
        <v>2465000</v>
      </c>
      <c r="R43" s="32"/>
      <c r="S43" s="32"/>
    </row>
    <row r="44" spans="1:18" s="30" customFormat="1" ht="42.75" customHeight="1">
      <c r="A44" s="470" t="s">
        <v>174</v>
      </c>
      <c r="B44" s="309" t="s">
        <v>225</v>
      </c>
      <c r="C44" s="344" t="s">
        <v>173</v>
      </c>
      <c r="D44" s="344">
        <v>2010</v>
      </c>
      <c r="E44" s="344">
        <v>2012</v>
      </c>
      <c r="F44" s="133">
        <v>852</v>
      </c>
      <c r="G44" s="133">
        <v>85219</v>
      </c>
      <c r="H44" s="133">
        <v>6050</v>
      </c>
      <c r="I44" s="134">
        <f>L44+M44+70070+N44</f>
        <v>70070</v>
      </c>
      <c r="J44" s="328">
        <v>800000</v>
      </c>
      <c r="K44" s="328">
        <v>-800000</v>
      </c>
      <c r="L44" s="327">
        <f t="shared" si="6"/>
        <v>0</v>
      </c>
      <c r="M44" s="136"/>
      <c r="N44" s="135"/>
      <c r="O44" s="136"/>
      <c r="P44" s="136"/>
      <c r="Q44" s="463">
        <f aca="true" t="shared" si="8" ref="Q44:Q49">SUM(L44:P44)</f>
        <v>0</v>
      </c>
      <c r="R44" s="32"/>
    </row>
    <row r="45" spans="1:18" s="30" customFormat="1" ht="39" customHeight="1">
      <c r="A45" s="487" t="s">
        <v>175</v>
      </c>
      <c r="B45" s="255" t="s">
        <v>243</v>
      </c>
      <c r="C45" s="344" t="s">
        <v>173</v>
      </c>
      <c r="D45" s="344">
        <v>2011</v>
      </c>
      <c r="E45" s="344">
        <v>2013</v>
      </c>
      <c r="F45" s="344">
        <v>900</v>
      </c>
      <c r="G45" s="344">
        <v>90015</v>
      </c>
      <c r="H45" s="344">
        <v>6050</v>
      </c>
      <c r="I45" s="43">
        <f>L45+9645+M45</f>
        <v>138645</v>
      </c>
      <c r="J45" s="332">
        <v>142000</v>
      </c>
      <c r="K45" s="332">
        <v>-140000</v>
      </c>
      <c r="L45" s="327">
        <f t="shared" si="6"/>
        <v>2000</v>
      </c>
      <c r="M45" s="132">
        <v>127000</v>
      </c>
      <c r="N45" s="425">
        <v>0</v>
      </c>
      <c r="O45" s="425">
        <v>0</v>
      </c>
      <c r="P45" s="425">
        <v>0</v>
      </c>
      <c r="Q45" s="463">
        <f t="shared" si="8"/>
        <v>129000</v>
      </c>
      <c r="R45" s="32"/>
    </row>
    <row r="46" spans="1:17" s="19" customFormat="1" ht="29.25" customHeight="1">
      <c r="A46" s="470" t="s">
        <v>439</v>
      </c>
      <c r="B46" s="310" t="s">
        <v>172</v>
      </c>
      <c r="C46" s="344" t="s">
        <v>173</v>
      </c>
      <c r="D46" s="419">
        <v>2010</v>
      </c>
      <c r="E46" s="419">
        <v>2014</v>
      </c>
      <c r="F46" s="344">
        <v>921</v>
      </c>
      <c r="G46" s="344">
        <v>92109</v>
      </c>
      <c r="H46" s="344">
        <v>6050</v>
      </c>
      <c r="I46" s="43">
        <f>L46+M46+N46+4880</f>
        <v>739880</v>
      </c>
      <c r="J46" s="328">
        <v>150000</v>
      </c>
      <c r="K46" s="328">
        <v>-65000</v>
      </c>
      <c r="L46" s="332">
        <f aca="true" t="shared" si="9" ref="L46:L52">J46+K46</f>
        <v>85000</v>
      </c>
      <c r="M46" s="135">
        <v>300000</v>
      </c>
      <c r="N46" s="135">
        <v>350000</v>
      </c>
      <c r="O46" s="136"/>
      <c r="P46" s="136"/>
      <c r="Q46" s="463">
        <f>SUM(L46:P46)</f>
        <v>735000</v>
      </c>
    </row>
    <row r="47" spans="1:17" s="19" customFormat="1" ht="31.5" customHeight="1">
      <c r="A47" s="487" t="s">
        <v>440</v>
      </c>
      <c r="B47" s="44" t="s">
        <v>355</v>
      </c>
      <c r="C47" s="344" t="s">
        <v>267</v>
      </c>
      <c r="D47" s="344">
        <v>2010</v>
      </c>
      <c r="E47" s="344">
        <v>2012</v>
      </c>
      <c r="F47" s="344">
        <v>921</v>
      </c>
      <c r="G47" s="344">
        <v>92109</v>
      </c>
      <c r="H47" s="344">
        <v>6050</v>
      </c>
      <c r="I47" s="43">
        <f>L47+M47+N47+6541</f>
        <v>42826</v>
      </c>
      <c r="J47" s="328">
        <v>36285</v>
      </c>
      <c r="K47" s="328"/>
      <c r="L47" s="332">
        <f t="shared" si="9"/>
        <v>36285</v>
      </c>
      <c r="M47" s="135"/>
      <c r="N47" s="135"/>
      <c r="O47" s="136"/>
      <c r="P47" s="136"/>
      <c r="Q47" s="463">
        <f t="shared" si="8"/>
        <v>36285</v>
      </c>
    </row>
    <row r="48" spans="1:17" s="19" customFormat="1" ht="33.75" customHeight="1">
      <c r="A48" s="470" t="s">
        <v>441</v>
      </c>
      <c r="B48" s="44" t="s">
        <v>176</v>
      </c>
      <c r="C48" s="344" t="s">
        <v>173</v>
      </c>
      <c r="D48" s="344">
        <v>2010</v>
      </c>
      <c r="E48" s="344">
        <v>2015</v>
      </c>
      <c r="F48" s="344">
        <v>921</v>
      </c>
      <c r="G48" s="344">
        <v>92109</v>
      </c>
      <c r="H48" s="344">
        <v>6050</v>
      </c>
      <c r="I48" s="43">
        <f>L48+M48+N48+64660+O48</f>
        <v>1564660</v>
      </c>
      <c r="J48" s="328">
        <v>150000</v>
      </c>
      <c r="K48" s="328">
        <v>-150000</v>
      </c>
      <c r="L48" s="332">
        <f>J48+K48</f>
        <v>0</v>
      </c>
      <c r="M48" s="135">
        <v>50000</v>
      </c>
      <c r="N48" s="135">
        <v>450000</v>
      </c>
      <c r="O48" s="136">
        <v>1000000</v>
      </c>
      <c r="P48" s="136"/>
      <c r="Q48" s="463">
        <f t="shared" si="8"/>
        <v>1500000</v>
      </c>
    </row>
    <row r="49" spans="1:17" s="19" customFormat="1" ht="25.5" customHeight="1">
      <c r="A49" s="487" t="s">
        <v>227</v>
      </c>
      <c r="B49" s="44" t="s">
        <v>349</v>
      </c>
      <c r="C49" s="344" t="s">
        <v>348</v>
      </c>
      <c r="D49" s="344">
        <v>2012</v>
      </c>
      <c r="E49" s="344">
        <v>2014</v>
      </c>
      <c r="F49" s="344">
        <v>921</v>
      </c>
      <c r="G49" s="344">
        <v>92109</v>
      </c>
      <c r="H49" s="344">
        <v>6050</v>
      </c>
      <c r="I49" s="43">
        <f>L49+M49+N49</f>
        <v>3600000</v>
      </c>
      <c r="J49" s="328">
        <v>1100000</v>
      </c>
      <c r="K49" s="328">
        <v>-1095155</v>
      </c>
      <c r="L49" s="332">
        <f t="shared" si="9"/>
        <v>4845</v>
      </c>
      <c r="M49" s="135">
        <v>1595155</v>
      </c>
      <c r="N49" s="136">
        <v>2000000</v>
      </c>
      <c r="O49" s="136"/>
      <c r="P49" s="136"/>
      <c r="Q49" s="463">
        <f t="shared" si="8"/>
        <v>3600000</v>
      </c>
    </row>
    <row r="50" spans="1:18" s="437" customFormat="1" ht="27" customHeight="1">
      <c r="A50" s="488" t="s">
        <v>177</v>
      </c>
      <c r="B50" s="261" t="s">
        <v>178</v>
      </c>
      <c r="C50" s="443" t="s">
        <v>160</v>
      </c>
      <c r="D50" s="443">
        <v>2006</v>
      </c>
      <c r="E50" s="443">
        <v>2016</v>
      </c>
      <c r="F50" s="443"/>
      <c r="G50" s="443"/>
      <c r="H50" s="443"/>
      <c r="I50" s="444">
        <f>I51+I59+I60+I58</f>
        <v>97448185</v>
      </c>
      <c r="J50" s="448">
        <f>J51+J59+J60+J58</f>
        <v>26697000</v>
      </c>
      <c r="K50" s="448">
        <f>K51+K59+K60+K58</f>
        <v>-329900</v>
      </c>
      <c r="L50" s="448">
        <f>J50+K50</f>
        <v>26367100</v>
      </c>
      <c r="M50" s="448">
        <f>M51+M59+M60+M58</f>
        <v>25107000</v>
      </c>
      <c r="N50" s="448">
        <f>N51+N59+N60</f>
        <v>1900000</v>
      </c>
      <c r="O50" s="448">
        <f>O51+O59+O60</f>
        <v>11400000</v>
      </c>
      <c r="P50" s="448">
        <f>P51+P59+P60</f>
        <v>29000000</v>
      </c>
      <c r="Q50" s="489">
        <f>Q51+Q59+Q60+Q58</f>
        <v>93774100</v>
      </c>
      <c r="R50" s="436">
        <f>SUM(L50:P50)</f>
        <v>93774100</v>
      </c>
    </row>
    <row r="51" spans="1:18" s="19" customFormat="1" ht="48" customHeight="1" thickBot="1">
      <c r="A51" s="469" t="s">
        <v>179</v>
      </c>
      <c r="B51" s="145" t="s">
        <v>222</v>
      </c>
      <c r="C51" s="259" t="s">
        <v>163</v>
      </c>
      <c r="D51" s="423">
        <v>2006</v>
      </c>
      <c r="E51" s="423">
        <v>2016</v>
      </c>
      <c r="F51" s="760" t="s">
        <v>164</v>
      </c>
      <c r="G51" s="760"/>
      <c r="H51" s="760"/>
      <c r="I51" s="260">
        <f>SUM(I52:I57)</f>
        <v>94586024</v>
      </c>
      <c r="J51" s="339">
        <f aca="true" t="shared" si="10" ref="J51:P51">SUM(J52:J57)</f>
        <v>25995000</v>
      </c>
      <c r="K51" s="339">
        <f t="shared" si="10"/>
        <v>0</v>
      </c>
      <c r="L51" s="339">
        <f t="shared" si="9"/>
        <v>25995000</v>
      </c>
      <c r="M51" s="260">
        <f>SUM(M52:M57)</f>
        <v>24580000</v>
      </c>
      <c r="N51" s="260">
        <f t="shared" si="10"/>
        <v>0</v>
      </c>
      <c r="O51" s="260">
        <f t="shared" si="10"/>
        <v>11400000</v>
      </c>
      <c r="P51" s="260">
        <f t="shared" si="10"/>
        <v>29000000</v>
      </c>
      <c r="Q51" s="490">
        <f>SUM(Q52:Q57)</f>
        <v>90975000</v>
      </c>
      <c r="R51" s="23">
        <f>Q51+Q59+Q60+Q58</f>
        <v>93774100</v>
      </c>
    </row>
    <row r="52" spans="1:17" s="19" customFormat="1" ht="25.5" customHeight="1">
      <c r="A52" s="491"/>
      <c r="B52" s="241" t="s">
        <v>180</v>
      </c>
      <c r="C52" s="146"/>
      <c r="D52" s="146"/>
      <c r="E52" s="146"/>
      <c r="F52" s="146">
        <v>801</v>
      </c>
      <c r="G52" s="146">
        <v>80101</v>
      </c>
      <c r="H52" s="146">
        <v>6050</v>
      </c>
      <c r="I52" s="147">
        <f>L52+M52+3611024</f>
        <v>54186024</v>
      </c>
      <c r="J52" s="340">
        <v>25995000</v>
      </c>
      <c r="K52" s="340"/>
      <c r="L52" s="340">
        <f t="shared" si="9"/>
        <v>25995000</v>
      </c>
      <c r="M52" s="148">
        <v>24580000</v>
      </c>
      <c r="N52" s="149"/>
      <c r="O52" s="149"/>
      <c r="P52" s="149"/>
      <c r="Q52" s="492">
        <f>SUM(L52:P52)</f>
        <v>50575000</v>
      </c>
    </row>
    <row r="53" spans="1:17" s="19" customFormat="1" ht="17.25" customHeight="1" thickBot="1">
      <c r="A53" s="470"/>
      <c r="B53" s="242" t="s">
        <v>416</v>
      </c>
      <c r="C53" s="153"/>
      <c r="D53" s="153"/>
      <c r="E53" s="153"/>
      <c r="F53" s="153"/>
      <c r="G53" s="153"/>
      <c r="H53" s="153"/>
      <c r="I53" s="154"/>
      <c r="J53" s="343"/>
      <c r="K53" s="343"/>
      <c r="L53" s="343"/>
      <c r="M53" s="563"/>
      <c r="N53" s="155"/>
      <c r="O53" s="155"/>
      <c r="P53" s="155"/>
      <c r="Q53" s="495">
        <f aca="true" t="shared" si="11" ref="Q53:Q60">SUM(L53:P53)</f>
        <v>0</v>
      </c>
    </row>
    <row r="54" spans="1:17" s="19" customFormat="1" ht="20.25" customHeight="1">
      <c r="A54" s="564"/>
      <c r="B54" s="565" t="s">
        <v>181</v>
      </c>
      <c r="C54" s="566"/>
      <c r="D54" s="566"/>
      <c r="E54" s="566"/>
      <c r="F54" s="566"/>
      <c r="G54" s="566"/>
      <c r="H54" s="566">
        <v>6058</v>
      </c>
      <c r="I54" s="567">
        <f>SUM(J54:P54)</f>
        <v>4000000</v>
      </c>
      <c r="J54" s="568"/>
      <c r="K54" s="568"/>
      <c r="L54" s="568"/>
      <c r="M54" s="567"/>
      <c r="N54" s="566"/>
      <c r="O54" s="567"/>
      <c r="P54" s="567">
        <v>4000000</v>
      </c>
      <c r="Q54" s="569">
        <f t="shared" si="11"/>
        <v>4000000</v>
      </c>
    </row>
    <row r="55" spans="1:17" s="19" customFormat="1" ht="25.5" customHeight="1" thickBot="1">
      <c r="A55" s="493"/>
      <c r="B55" s="150" t="s">
        <v>268</v>
      </c>
      <c r="C55" s="151"/>
      <c r="D55" s="151"/>
      <c r="E55" s="151"/>
      <c r="F55" s="151"/>
      <c r="G55" s="151"/>
      <c r="H55" s="151">
        <v>6059</v>
      </c>
      <c r="I55" s="152">
        <f>SUM(J55:P55)</f>
        <v>16400000</v>
      </c>
      <c r="J55" s="341"/>
      <c r="K55" s="341"/>
      <c r="L55" s="341"/>
      <c r="M55" s="152"/>
      <c r="N55" s="152"/>
      <c r="O55" s="152">
        <v>6400000</v>
      </c>
      <c r="P55" s="152">
        <v>10000000</v>
      </c>
      <c r="Q55" s="494">
        <f t="shared" si="11"/>
        <v>16400000</v>
      </c>
    </row>
    <row r="56" spans="1:17" s="19" customFormat="1" ht="25.5" customHeight="1">
      <c r="A56" s="491"/>
      <c r="B56" s="317" t="s">
        <v>182</v>
      </c>
      <c r="C56" s="146"/>
      <c r="D56" s="146"/>
      <c r="E56" s="146"/>
      <c r="F56" s="146"/>
      <c r="G56" s="146"/>
      <c r="H56" s="146">
        <v>6058</v>
      </c>
      <c r="I56" s="147">
        <f>SUM(J56:P56)</f>
        <v>5000000</v>
      </c>
      <c r="J56" s="340"/>
      <c r="K56" s="340"/>
      <c r="L56" s="340"/>
      <c r="M56" s="147"/>
      <c r="N56" s="147"/>
      <c r="O56" s="147"/>
      <c r="P56" s="147">
        <v>5000000</v>
      </c>
      <c r="Q56" s="492">
        <f t="shared" si="11"/>
        <v>5000000</v>
      </c>
    </row>
    <row r="57" spans="1:17" s="19" customFormat="1" ht="24.75" customHeight="1" thickBot="1">
      <c r="A57" s="493"/>
      <c r="B57" s="150" t="s">
        <v>269</v>
      </c>
      <c r="C57" s="151"/>
      <c r="D57" s="151"/>
      <c r="E57" s="151"/>
      <c r="F57" s="151"/>
      <c r="G57" s="151"/>
      <c r="H57" s="151">
        <v>6059</v>
      </c>
      <c r="I57" s="152">
        <f>SUM(J57:P57)</f>
        <v>15000000</v>
      </c>
      <c r="J57" s="341"/>
      <c r="K57" s="341"/>
      <c r="L57" s="341"/>
      <c r="M57" s="152"/>
      <c r="N57" s="152"/>
      <c r="O57" s="154">
        <v>5000000</v>
      </c>
      <c r="P57" s="154">
        <v>10000000</v>
      </c>
      <c r="Q57" s="495">
        <f t="shared" si="11"/>
        <v>15000000</v>
      </c>
    </row>
    <row r="58" spans="1:17" s="19" customFormat="1" ht="27.75" customHeight="1">
      <c r="A58" s="470" t="s">
        <v>229</v>
      </c>
      <c r="B58" s="410" t="s">
        <v>417</v>
      </c>
      <c r="C58" s="416" t="s">
        <v>163</v>
      </c>
      <c r="D58" s="418">
        <v>2012</v>
      </c>
      <c r="E58" s="418">
        <v>2013</v>
      </c>
      <c r="F58" s="344">
        <v>801</v>
      </c>
      <c r="G58" s="344">
        <v>80101</v>
      </c>
      <c r="H58" s="344">
        <v>6050</v>
      </c>
      <c r="I58" s="43">
        <f>L58+M58</f>
        <v>485000</v>
      </c>
      <c r="J58" s="332">
        <v>65000</v>
      </c>
      <c r="K58" s="332"/>
      <c r="L58" s="332">
        <f>J58+K58</f>
        <v>65000</v>
      </c>
      <c r="M58" s="132">
        <v>420000</v>
      </c>
      <c r="N58" s="425">
        <v>0</v>
      </c>
      <c r="O58" s="411">
        <v>0</v>
      </c>
      <c r="P58" s="411">
        <v>0</v>
      </c>
      <c r="Q58" s="496">
        <f>SUM(L58:P58)</f>
        <v>485000</v>
      </c>
    </row>
    <row r="59" spans="1:17" s="19" customFormat="1" ht="44.25" customHeight="1">
      <c r="A59" s="487" t="s">
        <v>230</v>
      </c>
      <c r="B59" s="158" t="s">
        <v>375</v>
      </c>
      <c r="C59" s="416" t="s">
        <v>163</v>
      </c>
      <c r="D59" s="344">
        <v>2011</v>
      </c>
      <c r="E59" s="344">
        <v>2012</v>
      </c>
      <c r="F59" s="344">
        <v>801</v>
      </c>
      <c r="G59" s="344">
        <v>80101</v>
      </c>
      <c r="H59" s="344">
        <v>6050</v>
      </c>
      <c r="I59" s="43">
        <f>L59+861</f>
        <v>307961</v>
      </c>
      <c r="J59" s="332">
        <v>330000</v>
      </c>
      <c r="K59" s="332">
        <v>-22900</v>
      </c>
      <c r="L59" s="332">
        <f>J59+K59</f>
        <v>307100</v>
      </c>
      <c r="M59" s="132"/>
      <c r="N59" s="425">
        <v>0</v>
      </c>
      <c r="O59" s="425">
        <v>0</v>
      </c>
      <c r="P59" s="425">
        <v>0</v>
      </c>
      <c r="Q59" s="463">
        <f t="shared" si="11"/>
        <v>307100</v>
      </c>
    </row>
    <row r="60" spans="1:17" s="19" customFormat="1" ht="30" customHeight="1">
      <c r="A60" s="497" t="s">
        <v>392</v>
      </c>
      <c r="B60" s="498" t="s">
        <v>192</v>
      </c>
      <c r="C60" s="478" t="s">
        <v>163</v>
      </c>
      <c r="D60" s="478">
        <v>2010</v>
      </c>
      <c r="E60" s="478">
        <v>2014</v>
      </c>
      <c r="F60" s="478">
        <v>801</v>
      </c>
      <c r="G60" s="478">
        <v>80104</v>
      </c>
      <c r="H60" s="478">
        <v>6050</v>
      </c>
      <c r="I60" s="499">
        <f>L60+M60+62200+N60</f>
        <v>2069200</v>
      </c>
      <c r="J60" s="500">
        <v>307000</v>
      </c>
      <c r="K60" s="500">
        <v>-307000</v>
      </c>
      <c r="L60" s="500">
        <f>J60+K60</f>
        <v>0</v>
      </c>
      <c r="M60" s="501">
        <v>107000</v>
      </c>
      <c r="N60" s="501">
        <v>1900000</v>
      </c>
      <c r="O60" s="502">
        <v>0</v>
      </c>
      <c r="P60" s="502">
        <v>0</v>
      </c>
      <c r="Q60" s="503">
        <f t="shared" si="11"/>
        <v>2007000</v>
      </c>
    </row>
    <row r="61" spans="1:17" s="19" customFormat="1" ht="47.25" customHeight="1">
      <c r="A61" s="403"/>
      <c r="B61" s="404"/>
      <c r="C61" s="405"/>
      <c r="D61" s="405"/>
      <c r="E61" s="405"/>
      <c r="F61" s="405"/>
      <c r="G61" s="405"/>
      <c r="H61" s="405"/>
      <c r="I61" s="406"/>
      <c r="J61" s="412"/>
      <c r="K61" s="412"/>
      <c r="L61" s="412"/>
      <c r="M61" s="407"/>
      <c r="N61" s="408"/>
      <c r="O61" s="408"/>
      <c r="P61" s="408"/>
      <c r="Q61" s="262"/>
    </row>
    <row r="62" spans="1:17" s="19" customFormat="1" ht="49.5" customHeight="1">
      <c r="A62" s="403"/>
      <c r="B62" s="404"/>
      <c r="C62" s="405"/>
      <c r="D62" s="405"/>
      <c r="E62" s="405"/>
      <c r="F62" s="405"/>
      <c r="G62" s="405"/>
      <c r="H62" s="405"/>
      <c r="I62" s="406"/>
      <c r="J62" s="412"/>
      <c r="K62" s="412"/>
      <c r="L62" s="412"/>
      <c r="M62" s="407"/>
      <c r="N62" s="408"/>
      <c r="O62" s="408"/>
      <c r="P62" s="408"/>
      <c r="Q62" s="262"/>
    </row>
    <row r="63" spans="1:17" s="19" customFormat="1" ht="19.5" customHeight="1">
      <c r="A63" s="403"/>
      <c r="B63" s="404"/>
      <c r="C63" s="405"/>
      <c r="D63" s="405"/>
      <c r="E63" s="405"/>
      <c r="F63" s="405"/>
      <c r="G63" s="405"/>
      <c r="H63" s="405"/>
      <c r="I63" s="406"/>
      <c r="J63" s="412"/>
      <c r="K63" s="412"/>
      <c r="L63" s="412"/>
      <c r="M63" s="407"/>
      <c r="N63" s="408"/>
      <c r="O63" s="408"/>
      <c r="P63" s="408"/>
      <c r="Q63" s="262"/>
    </row>
    <row r="64" spans="1:17" s="19" customFormat="1" ht="14.25" customHeight="1">
      <c r="A64" s="403"/>
      <c r="B64" s="404"/>
      <c r="C64" s="405"/>
      <c r="D64" s="405"/>
      <c r="E64" s="405"/>
      <c r="F64" s="405"/>
      <c r="G64" s="405"/>
      <c r="H64" s="405"/>
      <c r="I64" s="406"/>
      <c r="J64" s="412"/>
      <c r="K64" s="412"/>
      <c r="L64" s="412"/>
      <c r="M64" s="407"/>
      <c r="N64" s="408"/>
      <c r="O64" s="408"/>
      <c r="P64" s="408"/>
      <c r="Q64" s="262"/>
    </row>
    <row r="65" spans="1:17" s="28" customFormat="1" ht="16.5" customHeight="1">
      <c r="A65" s="715" t="s">
        <v>110</v>
      </c>
      <c r="B65" s="719" t="s">
        <v>142</v>
      </c>
      <c r="C65" s="722" t="s">
        <v>143</v>
      </c>
      <c r="D65" s="726" t="s">
        <v>226</v>
      </c>
      <c r="E65" s="726"/>
      <c r="F65" s="726" t="s">
        <v>144</v>
      </c>
      <c r="G65" s="726"/>
      <c r="H65" s="726"/>
      <c r="I65" s="702" t="s">
        <v>145</v>
      </c>
      <c r="J65" s="705" t="s">
        <v>294</v>
      </c>
      <c r="K65" s="705"/>
      <c r="L65" s="705"/>
      <c r="M65" s="705"/>
      <c r="N65" s="705"/>
      <c r="O65" s="705"/>
      <c r="P65" s="705"/>
      <c r="Q65" s="706" t="s">
        <v>146</v>
      </c>
    </row>
    <row r="66" spans="1:17" s="28" customFormat="1" ht="11.25" customHeight="1">
      <c r="A66" s="716"/>
      <c r="B66" s="720"/>
      <c r="C66" s="723"/>
      <c r="D66" s="727"/>
      <c r="E66" s="727"/>
      <c r="F66" s="727"/>
      <c r="G66" s="727"/>
      <c r="H66" s="727"/>
      <c r="I66" s="703"/>
      <c r="J66" s="710">
        <v>2012</v>
      </c>
      <c r="K66" s="711"/>
      <c r="L66" s="711"/>
      <c r="M66" s="712">
        <v>2013</v>
      </c>
      <c r="N66" s="712">
        <v>2014</v>
      </c>
      <c r="O66" s="712">
        <v>2015</v>
      </c>
      <c r="P66" s="712">
        <v>2016</v>
      </c>
      <c r="Q66" s="707"/>
    </row>
    <row r="67" spans="1:17" s="28" customFormat="1" ht="11.25" customHeight="1">
      <c r="A67" s="717"/>
      <c r="B67" s="721"/>
      <c r="C67" s="724"/>
      <c r="D67" s="700" t="s">
        <v>147</v>
      </c>
      <c r="E67" s="700" t="s">
        <v>148</v>
      </c>
      <c r="F67" s="700" t="s">
        <v>149</v>
      </c>
      <c r="G67" s="700" t="s">
        <v>150</v>
      </c>
      <c r="H67" s="700" t="s">
        <v>151</v>
      </c>
      <c r="I67" s="704"/>
      <c r="J67" s="710"/>
      <c r="K67" s="711"/>
      <c r="L67" s="711"/>
      <c r="M67" s="713"/>
      <c r="N67" s="713"/>
      <c r="O67" s="713"/>
      <c r="P67" s="713"/>
      <c r="Q67" s="708"/>
    </row>
    <row r="68" spans="1:17" s="28" customFormat="1" ht="20.25" customHeight="1" thickBot="1">
      <c r="A68" s="718"/>
      <c r="B68" s="701"/>
      <c r="C68" s="725"/>
      <c r="D68" s="701"/>
      <c r="E68" s="701"/>
      <c r="F68" s="701"/>
      <c r="G68" s="701"/>
      <c r="H68" s="701"/>
      <c r="I68" s="701"/>
      <c r="J68" s="326" t="s">
        <v>291</v>
      </c>
      <c r="K68" s="326" t="s">
        <v>292</v>
      </c>
      <c r="L68" s="326" t="s">
        <v>293</v>
      </c>
      <c r="M68" s="714"/>
      <c r="N68" s="714"/>
      <c r="O68" s="714"/>
      <c r="P68" s="714"/>
      <c r="Q68" s="709"/>
    </row>
    <row r="69" spans="1:25" s="440" customFormat="1" ht="30.75" customHeight="1">
      <c r="A69" s="464" t="s">
        <v>113</v>
      </c>
      <c r="B69" s="432" t="s">
        <v>183</v>
      </c>
      <c r="C69" s="452"/>
      <c r="D69" s="452" t="s">
        <v>79</v>
      </c>
      <c r="E69" s="452" t="s">
        <v>79</v>
      </c>
      <c r="F69" s="452"/>
      <c r="G69" s="452"/>
      <c r="H69" s="452"/>
      <c r="I69" s="434">
        <f aca="true" t="shared" si="12" ref="I69:N69">I70</f>
        <v>21838552</v>
      </c>
      <c r="J69" s="434">
        <f t="shared" si="12"/>
        <v>7006963</v>
      </c>
      <c r="K69" s="434">
        <f t="shared" si="12"/>
        <v>-2053900</v>
      </c>
      <c r="L69" s="434">
        <f t="shared" si="12"/>
        <v>4953063</v>
      </c>
      <c r="M69" s="434">
        <f t="shared" si="12"/>
        <v>8989380</v>
      </c>
      <c r="N69" s="453">
        <f t="shared" si="12"/>
        <v>5090000</v>
      </c>
      <c r="O69" s="454">
        <v>0</v>
      </c>
      <c r="P69" s="454">
        <v>0</v>
      </c>
      <c r="Q69" s="549">
        <f>SUM(L69:P69)</f>
        <v>19032443</v>
      </c>
      <c r="R69" s="455"/>
      <c r="S69" s="455"/>
      <c r="T69" s="455"/>
      <c r="U69" s="455"/>
      <c r="V69" s="455"/>
      <c r="W69" s="455"/>
      <c r="X69" s="455"/>
      <c r="Y69" s="455"/>
    </row>
    <row r="70" spans="1:18" s="33" customFormat="1" ht="18.75" customHeight="1">
      <c r="A70" s="550"/>
      <c r="B70" s="156" t="s">
        <v>154</v>
      </c>
      <c r="C70" s="157"/>
      <c r="D70" s="157" t="s">
        <v>79</v>
      </c>
      <c r="E70" s="157" t="s">
        <v>79</v>
      </c>
      <c r="F70" s="157"/>
      <c r="G70" s="157"/>
      <c r="H70" s="157"/>
      <c r="I70" s="132">
        <f>I71</f>
        <v>21838552</v>
      </c>
      <c r="J70" s="327">
        <f aca="true" t="shared" si="13" ref="J70:Q70">J71</f>
        <v>7006963</v>
      </c>
      <c r="K70" s="327">
        <f t="shared" si="13"/>
        <v>-2053900</v>
      </c>
      <c r="L70" s="327">
        <f t="shared" si="13"/>
        <v>4953063</v>
      </c>
      <c r="M70" s="132">
        <f t="shared" si="13"/>
        <v>8989380</v>
      </c>
      <c r="N70" s="132">
        <f t="shared" si="13"/>
        <v>5090000</v>
      </c>
      <c r="O70" s="132">
        <f t="shared" si="13"/>
        <v>1306000</v>
      </c>
      <c r="P70" s="132">
        <f t="shared" si="13"/>
        <v>1300000</v>
      </c>
      <c r="Q70" s="512">
        <f t="shared" si="13"/>
        <v>21638443</v>
      </c>
      <c r="R70" s="244"/>
    </row>
    <row r="71" spans="1:19" s="451" customFormat="1" ht="19.5" customHeight="1">
      <c r="A71" s="488" t="s">
        <v>184</v>
      </c>
      <c r="B71" s="261" t="s">
        <v>185</v>
      </c>
      <c r="C71" s="449" t="s">
        <v>160</v>
      </c>
      <c r="D71" s="443">
        <v>2009</v>
      </c>
      <c r="E71" s="443">
        <v>2016</v>
      </c>
      <c r="F71" s="448"/>
      <c r="G71" s="448"/>
      <c r="H71" s="448"/>
      <c r="I71" s="448">
        <f>SUM(I72:I90,I91:I109)</f>
        <v>21838552</v>
      </c>
      <c r="J71" s="448">
        <f>SUM(J72:J91,J100:J109,J112)</f>
        <v>7006963</v>
      </c>
      <c r="K71" s="448">
        <f>SUM(K72:K91,K100:K112)</f>
        <v>-2053900</v>
      </c>
      <c r="L71" s="448">
        <f>SUM(L72:L90,L91:L109,L112)</f>
        <v>4953063</v>
      </c>
      <c r="M71" s="448">
        <f>SUM(M72:M91,M100:M109,M112)</f>
        <v>8989380</v>
      </c>
      <c r="N71" s="448">
        <f>SUM(N72:N91,N100:N109,N112)</f>
        <v>5090000</v>
      </c>
      <c r="O71" s="448">
        <f>SUM(O72:O91,O100:O109,O112)</f>
        <v>1306000</v>
      </c>
      <c r="P71" s="448">
        <f>SUM(P72:P91,P100:P109,P112)</f>
        <v>1300000</v>
      </c>
      <c r="Q71" s="448">
        <f>SUM(Q72:Q91,Q100:Q109,Q112)</f>
        <v>21638443</v>
      </c>
      <c r="R71" s="450">
        <f>SUM(L71:P71)</f>
        <v>21638443</v>
      </c>
      <c r="S71" s="450">
        <f>R72-R71</f>
        <v>0</v>
      </c>
    </row>
    <row r="72" spans="1:19" s="33" customFormat="1" ht="30" customHeight="1">
      <c r="A72" s="511" t="s">
        <v>186</v>
      </c>
      <c r="B72" s="311" t="s">
        <v>306</v>
      </c>
      <c r="C72" s="344" t="s">
        <v>173</v>
      </c>
      <c r="D72" s="344">
        <v>2012</v>
      </c>
      <c r="E72" s="344">
        <v>2013</v>
      </c>
      <c r="F72" s="43">
        <v>600</v>
      </c>
      <c r="G72" s="43" t="s">
        <v>187</v>
      </c>
      <c r="H72" s="43">
        <v>6050</v>
      </c>
      <c r="I72" s="43">
        <f>L72+M72</f>
        <v>100225</v>
      </c>
      <c r="J72" s="332">
        <v>10000</v>
      </c>
      <c r="K72" s="332">
        <v>-9775</v>
      </c>
      <c r="L72" s="332">
        <f>J72+K72</f>
        <v>225</v>
      </c>
      <c r="M72" s="132">
        <v>100000</v>
      </c>
      <c r="N72" s="132"/>
      <c r="O72" s="132"/>
      <c r="P72" s="132"/>
      <c r="Q72" s="463">
        <f>SUM(L72:P72)</f>
        <v>100225</v>
      </c>
      <c r="R72" s="244">
        <f>L71+M71+N71+O71+P71</f>
        <v>21638443</v>
      </c>
      <c r="S72" s="244">
        <f>J71+K71</f>
        <v>4953063</v>
      </c>
    </row>
    <row r="73" spans="1:18" s="33" customFormat="1" ht="30" customHeight="1">
      <c r="A73" s="511" t="s">
        <v>188</v>
      </c>
      <c r="B73" s="347" t="s">
        <v>368</v>
      </c>
      <c r="C73" s="344" t="s">
        <v>173</v>
      </c>
      <c r="D73" s="344">
        <v>2012</v>
      </c>
      <c r="E73" s="344">
        <v>2013</v>
      </c>
      <c r="F73" s="43">
        <v>600</v>
      </c>
      <c r="G73" s="43">
        <v>60016</v>
      </c>
      <c r="H73" s="43">
        <v>6050</v>
      </c>
      <c r="I73" s="43">
        <f>L73+M73</f>
        <v>60225</v>
      </c>
      <c r="J73" s="332">
        <v>5000</v>
      </c>
      <c r="K73" s="332">
        <v>-4775</v>
      </c>
      <c r="L73" s="332">
        <f>J73+K73</f>
        <v>225</v>
      </c>
      <c r="M73" s="132">
        <v>60000</v>
      </c>
      <c r="N73" s="132"/>
      <c r="O73" s="132"/>
      <c r="P73" s="132"/>
      <c r="Q73" s="463">
        <f aca="true" t="shared" si="14" ref="Q73:Q91">SUM(L73:P73)</f>
        <v>60225</v>
      </c>
      <c r="R73" s="244">
        <f>SUM(Q72:Q91,Q100:Q109,Q112)</f>
        <v>21638443</v>
      </c>
    </row>
    <row r="74" spans="1:17" s="33" customFormat="1" ht="30" customHeight="1">
      <c r="A74" s="511" t="s">
        <v>418</v>
      </c>
      <c r="B74" s="312" t="s">
        <v>307</v>
      </c>
      <c r="C74" s="344" t="s">
        <v>173</v>
      </c>
      <c r="D74" s="344">
        <v>2009</v>
      </c>
      <c r="E74" s="344">
        <v>2013</v>
      </c>
      <c r="F74" s="43">
        <v>600</v>
      </c>
      <c r="G74" s="43" t="s">
        <v>187</v>
      </c>
      <c r="H74" s="43">
        <v>6050</v>
      </c>
      <c r="I74" s="43">
        <f>L74+M74+541582</f>
        <v>4696782</v>
      </c>
      <c r="J74" s="332">
        <v>1660000</v>
      </c>
      <c r="K74" s="332"/>
      <c r="L74" s="332">
        <f aca="true" t="shared" si="15" ref="L74:L104">J74+K74</f>
        <v>1660000</v>
      </c>
      <c r="M74" s="43">
        <v>2495200</v>
      </c>
      <c r="N74" s="132"/>
      <c r="O74" s="132"/>
      <c r="P74" s="132"/>
      <c r="Q74" s="463">
        <f t="shared" si="14"/>
        <v>4155200</v>
      </c>
    </row>
    <row r="75" spans="1:17" s="33" customFormat="1" ht="29.25" customHeight="1">
      <c r="A75" s="511" t="s">
        <v>190</v>
      </c>
      <c r="B75" s="313" t="s">
        <v>325</v>
      </c>
      <c r="C75" s="344" t="s">
        <v>173</v>
      </c>
      <c r="D75" s="344">
        <v>2009</v>
      </c>
      <c r="E75" s="344">
        <v>2014</v>
      </c>
      <c r="F75" s="43">
        <v>600</v>
      </c>
      <c r="G75" s="43" t="s">
        <v>187</v>
      </c>
      <c r="H75" s="43">
        <v>6050</v>
      </c>
      <c r="I75" s="43">
        <f>L75+M75+N75+150269</f>
        <v>1060269</v>
      </c>
      <c r="J75" s="332">
        <v>10000</v>
      </c>
      <c r="K75" s="332">
        <v>-10000</v>
      </c>
      <c r="L75" s="332">
        <f t="shared" si="15"/>
        <v>0</v>
      </c>
      <c r="M75" s="132">
        <v>100000</v>
      </c>
      <c r="N75" s="132">
        <v>810000</v>
      </c>
      <c r="O75" s="132"/>
      <c r="P75" s="132"/>
      <c r="Q75" s="463">
        <f t="shared" si="14"/>
        <v>910000</v>
      </c>
    </row>
    <row r="76" spans="1:17" s="33" customFormat="1" ht="39" customHeight="1">
      <c r="A76" s="511" t="s">
        <v>244</v>
      </c>
      <c r="B76" s="254" t="s">
        <v>380</v>
      </c>
      <c r="C76" s="344" t="s">
        <v>173</v>
      </c>
      <c r="D76" s="344">
        <v>2009</v>
      </c>
      <c r="E76" s="344">
        <v>2014</v>
      </c>
      <c r="F76" s="43">
        <v>600</v>
      </c>
      <c r="G76" s="43" t="s">
        <v>187</v>
      </c>
      <c r="H76" s="43">
        <v>6050</v>
      </c>
      <c r="I76" s="43">
        <f>L76+M76+22814+N76</f>
        <v>797109</v>
      </c>
      <c r="J76" s="332">
        <v>20295</v>
      </c>
      <c r="K76" s="332"/>
      <c r="L76" s="332">
        <f t="shared" si="15"/>
        <v>20295</v>
      </c>
      <c r="M76" s="43">
        <v>100000</v>
      </c>
      <c r="N76" s="132">
        <v>654000</v>
      </c>
      <c r="O76" s="132"/>
      <c r="P76" s="132"/>
      <c r="Q76" s="463">
        <f t="shared" si="14"/>
        <v>774295</v>
      </c>
    </row>
    <row r="77" spans="1:17" s="33" customFormat="1" ht="39" customHeight="1">
      <c r="A77" s="511" t="s">
        <v>237</v>
      </c>
      <c r="B77" s="313" t="s">
        <v>376</v>
      </c>
      <c r="C77" s="344" t="s">
        <v>173</v>
      </c>
      <c r="D77" s="344">
        <v>2012</v>
      </c>
      <c r="E77" s="344">
        <v>2013</v>
      </c>
      <c r="F77" s="43">
        <v>600</v>
      </c>
      <c r="G77" s="43" t="s">
        <v>187</v>
      </c>
      <c r="H77" s="43">
        <v>6050</v>
      </c>
      <c r="I77" s="43">
        <f>L77+M77+N77</f>
        <v>35225</v>
      </c>
      <c r="J77" s="332">
        <v>5000</v>
      </c>
      <c r="K77" s="332">
        <v>-4775</v>
      </c>
      <c r="L77" s="332">
        <f>J77+K77</f>
        <v>225</v>
      </c>
      <c r="M77" s="132">
        <v>35000</v>
      </c>
      <c r="N77" s="132"/>
      <c r="O77" s="132"/>
      <c r="P77" s="132"/>
      <c r="Q77" s="463">
        <f t="shared" si="14"/>
        <v>35225</v>
      </c>
    </row>
    <row r="78" spans="1:17" s="33" customFormat="1" ht="30" customHeight="1">
      <c r="A78" s="511" t="s">
        <v>238</v>
      </c>
      <c r="B78" s="255" t="s">
        <v>381</v>
      </c>
      <c r="C78" s="344" t="s">
        <v>173</v>
      </c>
      <c r="D78" s="344">
        <v>2012</v>
      </c>
      <c r="E78" s="344">
        <v>2013</v>
      </c>
      <c r="F78" s="43">
        <v>600</v>
      </c>
      <c r="G78" s="43">
        <v>60016</v>
      </c>
      <c r="H78" s="43">
        <v>6050</v>
      </c>
      <c r="I78" s="43">
        <f>L78+M78</f>
        <v>70225</v>
      </c>
      <c r="J78" s="332">
        <v>10000</v>
      </c>
      <c r="K78" s="332">
        <v>-9775</v>
      </c>
      <c r="L78" s="332">
        <f t="shared" si="15"/>
        <v>225</v>
      </c>
      <c r="M78" s="43">
        <v>70000</v>
      </c>
      <c r="N78" s="132"/>
      <c r="O78" s="132"/>
      <c r="P78" s="132"/>
      <c r="Q78" s="463">
        <f t="shared" si="14"/>
        <v>70225</v>
      </c>
    </row>
    <row r="79" spans="1:17" s="33" customFormat="1" ht="29.25" customHeight="1">
      <c r="A79" s="511" t="s">
        <v>245</v>
      </c>
      <c r="B79" s="255" t="s">
        <v>369</v>
      </c>
      <c r="C79" s="344" t="s">
        <v>173</v>
      </c>
      <c r="D79" s="344">
        <v>2012</v>
      </c>
      <c r="E79" s="344">
        <v>2013</v>
      </c>
      <c r="F79" s="43">
        <v>600</v>
      </c>
      <c r="G79" s="43">
        <v>60016</v>
      </c>
      <c r="H79" s="43">
        <v>6050</v>
      </c>
      <c r="I79" s="43">
        <f>L79+M79</f>
        <v>75225</v>
      </c>
      <c r="J79" s="332">
        <v>5000</v>
      </c>
      <c r="K79" s="332">
        <v>-4775</v>
      </c>
      <c r="L79" s="332">
        <f>J79+K79</f>
        <v>225</v>
      </c>
      <c r="M79" s="43">
        <v>75000</v>
      </c>
      <c r="N79" s="132"/>
      <c r="O79" s="132"/>
      <c r="P79" s="132"/>
      <c r="Q79" s="463">
        <f t="shared" si="14"/>
        <v>75225</v>
      </c>
    </row>
    <row r="80" spans="1:17" s="33" customFormat="1" ht="29.25" customHeight="1">
      <c r="A80" s="511" t="s">
        <v>246</v>
      </c>
      <c r="B80" s="255" t="s">
        <v>377</v>
      </c>
      <c r="C80" s="344" t="s">
        <v>173</v>
      </c>
      <c r="D80" s="344">
        <v>2012</v>
      </c>
      <c r="E80" s="344">
        <v>2012</v>
      </c>
      <c r="F80" s="43">
        <v>600</v>
      </c>
      <c r="G80" s="43">
        <v>60016</v>
      </c>
      <c r="H80" s="43">
        <v>6050</v>
      </c>
      <c r="I80" s="43"/>
      <c r="J80" s="332">
        <v>5000</v>
      </c>
      <c r="K80" s="332">
        <v>-5000</v>
      </c>
      <c r="L80" s="332">
        <f>J80+K80</f>
        <v>0</v>
      </c>
      <c r="M80" s="43"/>
      <c r="N80" s="132"/>
      <c r="O80" s="132"/>
      <c r="P80" s="132"/>
      <c r="Q80" s="463">
        <f t="shared" si="14"/>
        <v>0</v>
      </c>
    </row>
    <row r="81" spans="1:17" s="33" customFormat="1" ht="30" customHeight="1">
      <c r="A81" s="511" t="s">
        <v>247</v>
      </c>
      <c r="B81" s="417" t="s">
        <v>353</v>
      </c>
      <c r="C81" s="344" t="s">
        <v>173</v>
      </c>
      <c r="D81" s="344">
        <v>2012</v>
      </c>
      <c r="E81" s="344">
        <v>2015</v>
      </c>
      <c r="F81" s="43">
        <v>600</v>
      </c>
      <c r="G81" s="43">
        <v>60016</v>
      </c>
      <c r="H81" s="43">
        <v>6050</v>
      </c>
      <c r="I81" s="43">
        <f>Q81</f>
        <v>676211</v>
      </c>
      <c r="J81" s="332">
        <v>60000</v>
      </c>
      <c r="K81" s="332">
        <v>-3789</v>
      </c>
      <c r="L81" s="332">
        <f t="shared" si="15"/>
        <v>56211</v>
      </c>
      <c r="M81" s="132">
        <v>60000</v>
      </c>
      <c r="N81" s="132">
        <v>120000</v>
      </c>
      <c r="O81" s="132">
        <v>440000</v>
      </c>
      <c r="P81" s="132"/>
      <c r="Q81" s="463">
        <f>SUM(L81:P81)</f>
        <v>676211</v>
      </c>
    </row>
    <row r="82" spans="1:17" s="33" customFormat="1" ht="33.75" customHeight="1">
      <c r="A82" s="511" t="s">
        <v>270</v>
      </c>
      <c r="B82" s="254" t="s">
        <v>288</v>
      </c>
      <c r="C82" s="344" t="s">
        <v>173</v>
      </c>
      <c r="D82" s="344">
        <v>2011</v>
      </c>
      <c r="E82" s="344">
        <v>2013</v>
      </c>
      <c r="F82" s="43">
        <v>600</v>
      </c>
      <c r="G82" s="43" t="s">
        <v>187</v>
      </c>
      <c r="H82" s="43">
        <v>6050</v>
      </c>
      <c r="I82" s="43">
        <f>Q82+67650</f>
        <v>778650</v>
      </c>
      <c r="J82" s="332">
        <v>791000</v>
      </c>
      <c r="K82" s="332">
        <v>-318000</v>
      </c>
      <c r="L82" s="332">
        <f t="shared" si="15"/>
        <v>473000</v>
      </c>
      <c r="M82" s="43">
        <v>238000</v>
      </c>
      <c r="N82" s="132"/>
      <c r="O82" s="132"/>
      <c r="P82" s="132"/>
      <c r="Q82" s="463">
        <f t="shared" si="14"/>
        <v>711000</v>
      </c>
    </row>
    <row r="83" spans="1:17" s="33" customFormat="1" ht="21" customHeight="1">
      <c r="A83" s="511" t="s">
        <v>271</v>
      </c>
      <c r="B83" s="254" t="s">
        <v>279</v>
      </c>
      <c r="C83" s="344" t="s">
        <v>173</v>
      </c>
      <c r="D83" s="344">
        <v>2012</v>
      </c>
      <c r="E83" s="344">
        <v>2014</v>
      </c>
      <c r="F83" s="43">
        <v>600</v>
      </c>
      <c r="G83" s="43" t="s">
        <v>187</v>
      </c>
      <c r="H83" s="43">
        <v>6050</v>
      </c>
      <c r="I83" s="43">
        <f>L83+M83+N83</f>
        <v>900000</v>
      </c>
      <c r="J83" s="332">
        <v>300000</v>
      </c>
      <c r="K83" s="333">
        <v>-300000</v>
      </c>
      <c r="L83" s="332">
        <f t="shared" si="15"/>
        <v>0</v>
      </c>
      <c r="M83" s="415">
        <v>200000</v>
      </c>
      <c r="N83" s="248">
        <v>700000</v>
      </c>
      <c r="O83" s="248"/>
      <c r="P83" s="248"/>
      <c r="Q83" s="463">
        <f t="shared" si="14"/>
        <v>900000</v>
      </c>
    </row>
    <row r="84" spans="1:17" s="33" customFormat="1" ht="21" customHeight="1">
      <c r="A84" s="511" t="s">
        <v>272</v>
      </c>
      <c r="B84" s="254" t="s">
        <v>280</v>
      </c>
      <c r="C84" s="344" t="s">
        <v>173</v>
      </c>
      <c r="D84" s="344">
        <v>2012</v>
      </c>
      <c r="E84" s="344">
        <v>2014</v>
      </c>
      <c r="F84" s="43">
        <v>600</v>
      </c>
      <c r="G84" s="43" t="s">
        <v>187</v>
      </c>
      <c r="H84" s="43">
        <v>6050</v>
      </c>
      <c r="I84" s="43">
        <f>L84+M84+N84</f>
        <v>840000</v>
      </c>
      <c r="J84" s="332">
        <v>300000</v>
      </c>
      <c r="K84" s="333">
        <v>-300000</v>
      </c>
      <c r="L84" s="332">
        <f t="shared" si="15"/>
        <v>0</v>
      </c>
      <c r="M84" s="415">
        <v>200000</v>
      </c>
      <c r="N84" s="248">
        <v>640000</v>
      </c>
      <c r="O84" s="248"/>
      <c r="P84" s="248"/>
      <c r="Q84" s="463">
        <f t="shared" si="14"/>
        <v>840000</v>
      </c>
    </row>
    <row r="85" spans="1:17" s="33" customFormat="1" ht="21" customHeight="1">
      <c r="A85" s="511" t="s">
        <v>273</v>
      </c>
      <c r="B85" s="254" t="s">
        <v>281</v>
      </c>
      <c r="C85" s="344" t="s">
        <v>173</v>
      </c>
      <c r="D85" s="344">
        <v>2012</v>
      </c>
      <c r="E85" s="344">
        <v>2013</v>
      </c>
      <c r="F85" s="43">
        <v>600</v>
      </c>
      <c r="G85" s="43" t="s">
        <v>187</v>
      </c>
      <c r="H85" s="43">
        <v>6050</v>
      </c>
      <c r="I85" s="43">
        <f>L85+M85</f>
        <v>710000</v>
      </c>
      <c r="J85" s="332">
        <v>196000</v>
      </c>
      <c r="K85" s="333"/>
      <c r="L85" s="332">
        <f t="shared" si="15"/>
        <v>196000</v>
      </c>
      <c r="M85" s="415">
        <v>514000</v>
      </c>
      <c r="N85" s="248"/>
      <c r="O85" s="248"/>
      <c r="P85" s="248"/>
      <c r="Q85" s="463">
        <f t="shared" si="14"/>
        <v>710000</v>
      </c>
    </row>
    <row r="86" spans="1:17" s="33" customFormat="1" ht="42.75" customHeight="1">
      <c r="A86" s="511" t="s">
        <v>274</v>
      </c>
      <c r="B86" s="254" t="s">
        <v>370</v>
      </c>
      <c r="C86" s="344" t="s">
        <v>173</v>
      </c>
      <c r="D86" s="344">
        <v>2012</v>
      </c>
      <c r="E86" s="344">
        <v>2013</v>
      </c>
      <c r="F86" s="43">
        <v>600</v>
      </c>
      <c r="G86" s="43">
        <v>60016</v>
      </c>
      <c r="H86" s="43">
        <v>6050</v>
      </c>
      <c r="I86" s="43">
        <f>L86+M86</f>
        <v>45225</v>
      </c>
      <c r="J86" s="333">
        <v>2667</v>
      </c>
      <c r="K86" s="333">
        <v>-2442</v>
      </c>
      <c r="L86" s="332">
        <f>J86+K86</f>
        <v>225</v>
      </c>
      <c r="M86" s="415">
        <v>45000</v>
      </c>
      <c r="N86" s="248"/>
      <c r="O86" s="248"/>
      <c r="P86" s="248"/>
      <c r="Q86" s="463">
        <f t="shared" si="14"/>
        <v>45225</v>
      </c>
    </row>
    <row r="87" spans="1:17" s="33" customFormat="1" ht="53.25" customHeight="1">
      <c r="A87" s="511" t="s">
        <v>275</v>
      </c>
      <c r="B87" s="254" t="s">
        <v>371</v>
      </c>
      <c r="C87" s="344" t="s">
        <v>173</v>
      </c>
      <c r="D87" s="344">
        <v>2012</v>
      </c>
      <c r="E87" s="344">
        <v>2013</v>
      </c>
      <c r="F87" s="43">
        <v>600</v>
      </c>
      <c r="G87" s="43">
        <v>60016</v>
      </c>
      <c r="H87" s="43">
        <v>6050</v>
      </c>
      <c r="I87" s="43">
        <f>L87+M87</f>
        <v>35225</v>
      </c>
      <c r="J87" s="333">
        <v>5000</v>
      </c>
      <c r="K87" s="333">
        <v>-4775</v>
      </c>
      <c r="L87" s="332">
        <f>J87+K87</f>
        <v>225</v>
      </c>
      <c r="M87" s="415">
        <v>35000</v>
      </c>
      <c r="N87" s="248"/>
      <c r="O87" s="248"/>
      <c r="P87" s="248"/>
      <c r="Q87" s="463">
        <f t="shared" si="14"/>
        <v>35225</v>
      </c>
    </row>
    <row r="88" spans="1:17" s="33" customFormat="1" ht="37.5" customHeight="1">
      <c r="A88" s="511" t="s">
        <v>289</v>
      </c>
      <c r="B88" s="254" t="s">
        <v>435</v>
      </c>
      <c r="C88" s="344" t="s">
        <v>173</v>
      </c>
      <c r="D88" s="344">
        <v>2013</v>
      </c>
      <c r="E88" s="344">
        <v>2016</v>
      </c>
      <c r="F88" s="43">
        <v>600</v>
      </c>
      <c r="G88" s="43">
        <v>60016</v>
      </c>
      <c r="H88" s="43">
        <v>6050</v>
      </c>
      <c r="I88" s="43">
        <f>L88+M88+O88+P88</f>
        <v>670000</v>
      </c>
      <c r="J88" s="333">
        <v>5000</v>
      </c>
      <c r="K88" s="333">
        <v>-5000</v>
      </c>
      <c r="L88" s="332">
        <f>J88+K88</f>
        <v>0</v>
      </c>
      <c r="M88" s="415">
        <v>70000</v>
      </c>
      <c r="N88" s="248"/>
      <c r="O88" s="248">
        <v>100000</v>
      </c>
      <c r="P88" s="248">
        <v>500000</v>
      </c>
      <c r="Q88" s="463">
        <f t="shared" si="14"/>
        <v>670000</v>
      </c>
    </row>
    <row r="89" spans="1:17" s="33" customFormat="1" ht="28.5" customHeight="1">
      <c r="A89" s="511" t="s">
        <v>308</v>
      </c>
      <c r="B89" s="254" t="s">
        <v>283</v>
      </c>
      <c r="C89" s="344" t="s">
        <v>173</v>
      </c>
      <c r="D89" s="344">
        <v>2012</v>
      </c>
      <c r="E89" s="344">
        <v>2014</v>
      </c>
      <c r="F89" s="43">
        <v>600</v>
      </c>
      <c r="G89" s="43" t="s">
        <v>187</v>
      </c>
      <c r="H89" s="43">
        <v>6050</v>
      </c>
      <c r="I89" s="43">
        <f>L89+M89+N89</f>
        <v>1765000</v>
      </c>
      <c r="J89" s="332">
        <v>165000</v>
      </c>
      <c r="K89" s="333">
        <v>-165000</v>
      </c>
      <c r="L89" s="332">
        <f t="shared" si="15"/>
        <v>0</v>
      </c>
      <c r="M89" s="415">
        <v>365000</v>
      </c>
      <c r="N89" s="248">
        <v>1400000</v>
      </c>
      <c r="O89" s="248"/>
      <c r="P89" s="248"/>
      <c r="Q89" s="463">
        <f t="shared" si="14"/>
        <v>1765000</v>
      </c>
    </row>
    <row r="90" spans="1:17" s="33" customFormat="1" ht="33.75" customHeight="1">
      <c r="A90" s="511" t="s">
        <v>309</v>
      </c>
      <c r="B90" s="346" t="s">
        <v>266</v>
      </c>
      <c r="C90" s="344" t="s">
        <v>173</v>
      </c>
      <c r="D90" s="344">
        <v>2011</v>
      </c>
      <c r="E90" s="344">
        <v>2012</v>
      </c>
      <c r="F90" s="43">
        <v>600</v>
      </c>
      <c r="G90" s="43">
        <v>60016</v>
      </c>
      <c r="H90" s="43">
        <v>6050</v>
      </c>
      <c r="I90" s="43">
        <f>L90+M90+1070071</f>
        <v>2283971</v>
      </c>
      <c r="J90" s="332">
        <v>1213900</v>
      </c>
      <c r="K90" s="332"/>
      <c r="L90" s="332">
        <f t="shared" si="15"/>
        <v>1213900</v>
      </c>
      <c r="M90" s="43"/>
      <c r="N90" s="132"/>
      <c r="O90" s="132"/>
      <c r="P90" s="132"/>
      <c r="Q90" s="463">
        <f t="shared" si="14"/>
        <v>1213900</v>
      </c>
    </row>
    <row r="91" spans="1:17" s="33" customFormat="1" ht="22.5" customHeight="1">
      <c r="A91" s="511" t="s">
        <v>351</v>
      </c>
      <c r="B91" s="551" t="s">
        <v>373</v>
      </c>
      <c r="C91" s="478" t="s">
        <v>173</v>
      </c>
      <c r="D91" s="478">
        <v>2012</v>
      </c>
      <c r="E91" s="478">
        <v>2016</v>
      </c>
      <c r="F91" s="499">
        <v>600</v>
      </c>
      <c r="G91" s="499">
        <v>60016</v>
      </c>
      <c r="H91" s="499">
        <v>6050</v>
      </c>
      <c r="I91" s="499">
        <f>L91+P91+O91+M91</f>
        <v>255225</v>
      </c>
      <c r="J91" s="500">
        <v>5000</v>
      </c>
      <c r="K91" s="500">
        <v>-4775</v>
      </c>
      <c r="L91" s="500">
        <f t="shared" si="15"/>
        <v>225</v>
      </c>
      <c r="M91" s="499">
        <v>45000</v>
      </c>
      <c r="N91" s="501"/>
      <c r="O91" s="501">
        <v>10000</v>
      </c>
      <c r="P91" s="501">
        <v>200000</v>
      </c>
      <c r="Q91" s="463">
        <f t="shared" si="14"/>
        <v>255225</v>
      </c>
    </row>
    <row r="92" spans="1:17" s="33" customFormat="1" ht="23.25" customHeight="1">
      <c r="A92" s="507"/>
      <c r="B92" s="508"/>
      <c r="C92" s="509"/>
      <c r="D92" s="509"/>
      <c r="E92" s="509"/>
      <c r="F92" s="412"/>
      <c r="G92" s="412"/>
      <c r="H92" s="412"/>
      <c r="I92" s="412"/>
      <c r="J92" s="412"/>
      <c r="K92" s="412"/>
      <c r="L92" s="412"/>
      <c r="M92" s="412"/>
      <c r="N92" s="459"/>
      <c r="O92" s="459"/>
      <c r="P92" s="459"/>
      <c r="Q92" s="510"/>
    </row>
    <row r="93" spans="1:17" s="33" customFormat="1" ht="23.25" customHeight="1">
      <c r="A93" s="507"/>
      <c r="B93" s="508"/>
      <c r="C93" s="509"/>
      <c r="D93" s="509"/>
      <c r="E93" s="509"/>
      <c r="F93" s="412"/>
      <c r="G93" s="412"/>
      <c r="H93" s="412"/>
      <c r="I93" s="412"/>
      <c r="J93" s="412"/>
      <c r="K93" s="412"/>
      <c r="L93" s="412"/>
      <c r="M93" s="412"/>
      <c r="N93" s="459"/>
      <c r="O93" s="459"/>
      <c r="P93" s="459"/>
      <c r="Q93" s="510"/>
    </row>
    <row r="94" spans="1:17" s="33" customFormat="1" ht="13.5" customHeight="1">
      <c r="A94" s="507"/>
      <c r="B94" s="508"/>
      <c r="C94" s="509"/>
      <c r="D94" s="509"/>
      <c r="E94" s="509"/>
      <c r="F94" s="412"/>
      <c r="G94" s="412"/>
      <c r="H94" s="412"/>
      <c r="I94" s="412"/>
      <c r="J94" s="412"/>
      <c r="K94" s="412"/>
      <c r="L94" s="412"/>
      <c r="M94" s="412"/>
      <c r="N94" s="459"/>
      <c r="O94" s="459"/>
      <c r="P94" s="459"/>
      <c r="Q94" s="510"/>
    </row>
    <row r="95" spans="1:17" s="33" customFormat="1" ht="9.75" customHeight="1">
      <c r="A95" s="507"/>
      <c r="B95" s="508"/>
      <c r="C95" s="509"/>
      <c r="D95" s="509"/>
      <c r="E95" s="509"/>
      <c r="F95" s="412"/>
      <c r="G95" s="412"/>
      <c r="H95" s="412"/>
      <c r="I95" s="412"/>
      <c r="J95" s="412"/>
      <c r="K95" s="412"/>
      <c r="L95" s="412"/>
      <c r="M95" s="412"/>
      <c r="N95" s="459"/>
      <c r="O95" s="459"/>
      <c r="P95" s="459"/>
      <c r="Q95" s="510"/>
    </row>
    <row r="96" spans="1:17" s="28" customFormat="1" ht="12.75" customHeight="1">
      <c r="A96" s="715" t="s">
        <v>110</v>
      </c>
      <c r="B96" s="719" t="s">
        <v>142</v>
      </c>
      <c r="C96" s="722" t="s">
        <v>143</v>
      </c>
      <c r="D96" s="726" t="s">
        <v>226</v>
      </c>
      <c r="E96" s="726"/>
      <c r="F96" s="726" t="s">
        <v>144</v>
      </c>
      <c r="G96" s="726"/>
      <c r="H96" s="726"/>
      <c r="I96" s="702" t="s">
        <v>145</v>
      </c>
      <c r="J96" s="705" t="s">
        <v>294</v>
      </c>
      <c r="K96" s="705"/>
      <c r="L96" s="705"/>
      <c r="M96" s="705"/>
      <c r="N96" s="705"/>
      <c r="O96" s="705"/>
      <c r="P96" s="705"/>
      <c r="Q96" s="706" t="s">
        <v>146</v>
      </c>
    </row>
    <row r="97" spans="1:17" s="28" customFormat="1" ht="11.25" customHeight="1">
      <c r="A97" s="716"/>
      <c r="B97" s="720"/>
      <c r="C97" s="723"/>
      <c r="D97" s="727"/>
      <c r="E97" s="727"/>
      <c r="F97" s="727"/>
      <c r="G97" s="727"/>
      <c r="H97" s="727"/>
      <c r="I97" s="703"/>
      <c r="J97" s="710">
        <v>2012</v>
      </c>
      <c r="K97" s="711"/>
      <c r="L97" s="711"/>
      <c r="M97" s="712">
        <v>2013</v>
      </c>
      <c r="N97" s="712">
        <v>2014</v>
      </c>
      <c r="O97" s="712">
        <v>2015</v>
      </c>
      <c r="P97" s="712">
        <v>2016</v>
      </c>
      <c r="Q97" s="707"/>
    </row>
    <row r="98" spans="1:17" s="28" customFormat="1" ht="11.25" customHeight="1">
      <c r="A98" s="717"/>
      <c r="B98" s="721"/>
      <c r="C98" s="724"/>
      <c r="D98" s="700" t="s">
        <v>147</v>
      </c>
      <c r="E98" s="700" t="s">
        <v>148</v>
      </c>
      <c r="F98" s="700" t="s">
        <v>149</v>
      </c>
      <c r="G98" s="700" t="s">
        <v>150</v>
      </c>
      <c r="H98" s="700" t="s">
        <v>151</v>
      </c>
      <c r="I98" s="704"/>
      <c r="J98" s="710"/>
      <c r="K98" s="711"/>
      <c r="L98" s="711"/>
      <c r="M98" s="713"/>
      <c r="N98" s="713"/>
      <c r="O98" s="713"/>
      <c r="P98" s="713"/>
      <c r="Q98" s="708"/>
    </row>
    <row r="99" spans="1:17" s="28" customFormat="1" ht="20.25" customHeight="1" thickBot="1">
      <c r="A99" s="718"/>
      <c r="B99" s="701"/>
      <c r="C99" s="725"/>
      <c r="D99" s="701"/>
      <c r="E99" s="701"/>
      <c r="F99" s="701"/>
      <c r="G99" s="701"/>
      <c r="H99" s="701"/>
      <c r="I99" s="701"/>
      <c r="J99" s="326" t="s">
        <v>291</v>
      </c>
      <c r="K99" s="326" t="s">
        <v>292</v>
      </c>
      <c r="L99" s="326" t="s">
        <v>293</v>
      </c>
      <c r="M99" s="714"/>
      <c r="N99" s="714"/>
      <c r="O99" s="714"/>
      <c r="P99" s="714"/>
      <c r="Q99" s="709"/>
    </row>
    <row r="100" spans="1:17" s="33" customFormat="1" ht="33.75" customHeight="1">
      <c r="A100" s="511" t="s">
        <v>357</v>
      </c>
      <c r="B100" s="325" t="s">
        <v>374</v>
      </c>
      <c r="C100" s="344" t="s">
        <v>173</v>
      </c>
      <c r="D100" s="344">
        <v>2012</v>
      </c>
      <c r="E100" s="344">
        <v>2013</v>
      </c>
      <c r="F100" s="43">
        <v>600</v>
      </c>
      <c r="G100" s="43">
        <v>60016</v>
      </c>
      <c r="H100" s="43">
        <v>6050</v>
      </c>
      <c r="I100" s="43">
        <f>L100+M100</f>
        <v>35225</v>
      </c>
      <c r="J100" s="333">
        <v>1000</v>
      </c>
      <c r="K100" s="333">
        <v>-775</v>
      </c>
      <c r="L100" s="332">
        <f>J100+K100</f>
        <v>225</v>
      </c>
      <c r="M100" s="415">
        <v>35000</v>
      </c>
      <c r="N100" s="248"/>
      <c r="O100" s="248"/>
      <c r="P100" s="248"/>
      <c r="Q100" s="463">
        <f>SUM(L100:P100)</f>
        <v>35225</v>
      </c>
    </row>
    <row r="101" spans="1:17" s="33" customFormat="1" ht="23.25" customHeight="1">
      <c r="A101" s="511" t="s">
        <v>358</v>
      </c>
      <c r="B101" s="312" t="s">
        <v>254</v>
      </c>
      <c r="C101" s="344" t="s">
        <v>173</v>
      </c>
      <c r="D101" s="344">
        <v>2011</v>
      </c>
      <c r="E101" s="344">
        <v>2012</v>
      </c>
      <c r="F101" s="43">
        <v>600</v>
      </c>
      <c r="G101" s="43" t="s">
        <v>187</v>
      </c>
      <c r="H101" s="43">
        <v>6050</v>
      </c>
      <c r="I101" s="43">
        <f>L101+M101+212845</f>
        <v>918010</v>
      </c>
      <c r="J101" s="332">
        <v>701530</v>
      </c>
      <c r="K101" s="332">
        <v>-406365</v>
      </c>
      <c r="L101" s="332">
        <f t="shared" si="15"/>
        <v>295165</v>
      </c>
      <c r="M101" s="43">
        <v>410000</v>
      </c>
      <c r="N101" s="43"/>
      <c r="O101" s="43"/>
      <c r="P101" s="43"/>
      <c r="Q101" s="463">
        <f aca="true" t="shared" si="16" ref="Q101:Q112">SUM(L101:P101)</f>
        <v>705165</v>
      </c>
    </row>
    <row r="102" spans="1:17" s="33" customFormat="1" ht="33.75" customHeight="1">
      <c r="A102" s="511" t="s">
        <v>359</v>
      </c>
      <c r="B102" s="314" t="s">
        <v>350</v>
      </c>
      <c r="C102" s="344" t="s">
        <v>173</v>
      </c>
      <c r="D102" s="344">
        <v>2012</v>
      </c>
      <c r="E102" s="344">
        <v>2016</v>
      </c>
      <c r="F102" s="43">
        <v>600</v>
      </c>
      <c r="G102" s="43" t="s">
        <v>187</v>
      </c>
      <c r="H102" s="43">
        <v>6050</v>
      </c>
      <c r="I102" s="43">
        <f>Q102</f>
        <v>368671</v>
      </c>
      <c r="J102" s="332">
        <v>100000</v>
      </c>
      <c r="K102" s="332">
        <v>-41329</v>
      </c>
      <c r="L102" s="332">
        <f t="shared" si="15"/>
        <v>58671</v>
      </c>
      <c r="M102" s="43"/>
      <c r="N102" s="132"/>
      <c r="O102" s="132">
        <v>10000</v>
      </c>
      <c r="P102" s="132">
        <v>300000</v>
      </c>
      <c r="Q102" s="463">
        <f t="shared" si="16"/>
        <v>368671</v>
      </c>
    </row>
    <row r="103" spans="1:17" s="33" customFormat="1" ht="28.5" customHeight="1">
      <c r="A103" s="511" t="s">
        <v>360</v>
      </c>
      <c r="B103" s="506" t="s">
        <v>356</v>
      </c>
      <c r="C103" s="478" t="s">
        <v>173</v>
      </c>
      <c r="D103" s="478">
        <v>2012</v>
      </c>
      <c r="E103" s="478">
        <v>2016</v>
      </c>
      <c r="F103" s="499">
        <v>600</v>
      </c>
      <c r="G103" s="499">
        <v>60016</v>
      </c>
      <c r="H103" s="499">
        <v>6050</v>
      </c>
      <c r="I103" s="499">
        <f>L103+M103+N103+O103+P103</f>
        <v>667650</v>
      </c>
      <c r="J103" s="500">
        <v>453000</v>
      </c>
      <c r="K103" s="500">
        <v>-453000</v>
      </c>
      <c r="L103" s="500">
        <f>J103+K103</f>
        <v>0</v>
      </c>
      <c r="M103" s="499">
        <v>167650</v>
      </c>
      <c r="N103" s="501">
        <v>0</v>
      </c>
      <c r="O103" s="501">
        <v>200000</v>
      </c>
      <c r="P103" s="501">
        <v>300000</v>
      </c>
      <c r="Q103" s="463">
        <f t="shared" si="16"/>
        <v>667650</v>
      </c>
    </row>
    <row r="104" spans="1:17" s="33" customFormat="1" ht="33.75" customHeight="1">
      <c r="A104" s="511" t="s">
        <v>361</v>
      </c>
      <c r="B104" s="505" t="s">
        <v>256</v>
      </c>
      <c r="C104" s="419" t="s">
        <v>173</v>
      </c>
      <c r="D104" s="419">
        <v>2011</v>
      </c>
      <c r="E104" s="419">
        <v>2012</v>
      </c>
      <c r="F104" s="249">
        <v>600</v>
      </c>
      <c r="G104" s="249" t="s">
        <v>187</v>
      </c>
      <c r="H104" s="249">
        <v>6050</v>
      </c>
      <c r="I104" s="249">
        <f>L104+M104+218957</f>
        <v>1089504</v>
      </c>
      <c r="J104" s="331">
        <v>870547</v>
      </c>
      <c r="K104" s="331"/>
      <c r="L104" s="331">
        <f t="shared" si="15"/>
        <v>870547</v>
      </c>
      <c r="M104" s="250"/>
      <c r="N104" s="250"/>
      <c r="O104" s="250"/>
      <c r="P104" s="250"/>
      <c r="Q104" s="463">
        <f>SUM(L104:P104)</f>
        <v>870547</v>
      </c>
    </row>
    <row r="105" spans="1:17" s="33" customFormat="1" ht="33.75" customHeight="1">
      <c r="A105" s="511" t="s">
        <v>362</v>
      </c>
      <c r="B105" s="312" t="s">
        <v>436</v>
      </c>
      <c r="C105" s="344" t="s">
        <v>173</v>
      </c>
      <c r="D105" s="344">
        <v>2011</v>
      </c>
      <c r="E105" s="344">
        <v>2015</v>
      </c>
      <c r="F105" s="43">
        <v>600</v>
      </c>
      <c r="G105" s="43" t="s">
        <v>187</v>
      </c>
      <c r="H105" s="43">
        <v>6050</v>
      </c>
      <c r="I105" s="43">
        <f>L105+M105+9350+N105+O105</f>
        <v>893525</v>
      </c>
      <c r="J105" s="332">
        <v>89175</v>
      </c>
      <c r="K105" s="332"/>
      <c r="L105" s="332">
        <f>J105+K105</f>
        <v>89175</v>
      </c>
      <c r="M105" s="43">
        <v>95000</v>
      </c>
      <c r="N105" s="43">
        <v>200000</v>
      </c>
      <c r="O105" s="43">
        <v>500000</v>
      </c>
      <c r="P105" s="43"/>
      <c r="Q105" s="463">
        <f t="shared" si="16"/>
        <v>884175</v>
      </c>
    </row>
    <row r="106" spans="1:17" s="33" customFormat="1" ht="28.5" customHeight="1">
      <c r="A106" s="511" t="s">
        <v>365</v>
      </c>
      <c r="B106" s="312" t="s">
        <v>372</v>
      </c>
      <c r="C106" s="344" t="s">
        <v>173</v>
      </c>
      <c r="D106" s="344">
        <v>2012</v>
      </c>
      <c r="E106" s="344">
        <v>2013</v>
      </c>
      <c r="F106" s="43">
        <v>600</v>
      </c>
      <c r="G106" s="43" t="s">
        <v>187</v>
      </c>
      <c r="H106" s="43">
        <v>6050</v>
      </c>
      <c r="I106" s="43">
        <f>L106+M106</f>
        <v>95225</v>
      </c>
      <c r="J106" s="332">
        <v>5000</v>
      </c>
      <c r="K106" s="332">
        <v>-4775</v>
      </c>
      <c r="L106" s="332">
        <f>J106+K106</f>
        <v>225</v>
      </c>
      <c r="M106" s="43">
        <v>95000</v>
      </c>
      <c r="N106" s="43"/>
      <c r="O106" s="43"/>
      <c r="P106" s="43"/>
      <c r="Q106" s="463">
        <f t="shared" si="16"/>
        <v>95225</v>
      </c>
    </row>
    <row r="107" spans="1:17" s="33" customFormat="1" ht="48.75" customHeight="1">
      <c r="A107" s="511" t="s">
        <v>366</v>
      </c>
      <c r="B107" s="351" t="s">
        <v>379</v>
      </c>
      <c r="C107" s="344" t="s">
        <v>173</v>
      </c>
      <c r="D107" s="344">
        <v>2012</v>
      </c>
      <c r="E107" s="344">
        <v>2012</v>
      </c>
      <c r="F107" s="43">
        <v>600</v>
      </c>
      <c r="G107" s="43" t="s">
        <v>187</v>
      </c>
      <c r="H107" s="43">
        <v>6050</v>
      </c>
      <c r="I107" s="43">
        <f>L107+M107</f>
        <v>0</v>
      </c>
      <c r="J107" s="332">
        <v>5000</v>
      </c>
      <c r="K107" s="332">
        <v>-5000</v>
      </c>
      <c r="L107" s="332">
        <f>J107+K107</f>
        <v>0</v>
      </c>
      <c r="M107" s="43"/>
      <c r="N107" s="43"/>
      <c r="O107" s="43"/>
      <c r="P107" s="43"/>
      <c r="Q107" s="463">
        <f t="shared" si="16"/>
        <v>0</v>
      </c>
    </row>
    <row r="108" spans="1:17" s="33" customFormat="1" ht="36.75" customHeight="1">
      <c r="A108" s="511" t="s">
        <v>367</v>
      </c>
      <c r="B108" s="351" t="s">
        <v>437</v>
      </c>
      <c r="C108" s="344" t="s">
        <v>173</v>
      </c>
      <c r="D108" s="344">
        <v>2012</v>
      </c>
      <c r="E108" s="344">
        <v>2014</v>
      </c>
      <c r="F108" s="43">
        <v>600</v>
      </c>
      <c r="G108" s="43" t="s">
        <v>187</v>
      </c>
      <c r="H108" s="43">
        <v>6050</v>
      </c>
      <c r="I108" s="43">
        <f>L108+M108+N108</f>
        <v>659000</v>
      </c>
      <c r="J108" s="332"/>
      <c r="K108" s="332">
        <v>10000</v>
      </c>
      <c r="L108" s="332">
        <f>J108+K108</f>
        <v>10000</v>
      </c>
      <c r="M108" s="43">
        <v>249000</v>
      </c>
      <c r="N108" s="43">
        <v>400000</v>
      </c>
      <c r="O108" s="43"/>
      <c r="P108" s="43"/>
      <c r="Q108" s="463">
        <f t="shared" si="16"/>
        <v>659000</v>
      </c>
    </row>
    <row r="109" spans="1:17" s="33" customFormat="1" ht="18.75" customHeight="1">
      <c r="A109" s="745" t="s">
        <v>378</v>
      </c>
      <c r="B109" s="734" t="s">
        <v>354</v>
      </c>
      <c r="C109" s="695" t="s">
        <v>173</v>
      </c>
      <c r="D109" s="695">
        <v>2012</v>
      </c>
      <c r="E109" s="695">
        <v>2015</v>
      </c>
      <c r="F109" s="742" t="s">
        <v>164</v>
      </c>
      <c r="G109" s="743"/>
      <c r="H109" s="744"/>
      <c r="I109" s="132">
        <f>SUM(I110:I111)</f>
        <v>1256950</v>
      </c>
      <c r="J109" s="327">
        <f aca="true" t="shared" si="17" ref="J109:P109">SUM(J110:J111)</f>
        <v>0</v>
      </c>
      <c r="K109" s="327">
        <f t="shared" si="17"/>
        <v>0</v>
      </c>
      <c r="L109" s="327">
        <f t="shared" si="17"/>
        <v>0</v>
      </c>
      <c r="M109" s="132">
        <f>SUM(M110:M111)</f>
        <v>1044950</v>
      </c>
      <c r="N109" s="132">
        <f t="shared" si="17"/>
        <v>166000</v>
      </c>
      <c r="O109" s="132">
        <f t="shared" si="17"/>
        <v>46000</v>
      </c>
      <c r="P109" s="132">
        <f t="shared" si="17"/>
        <v>0</v>
      </c>
      <c r="Q109" s="463">
        <f t="shared" si="16"/>
        <v>1256950</v>
      </c>
    </row>
    <row r="110" spans="1:17" s="33" customFormat="1" ht="16.5" customHeight="1">
      <c r="A110" s="746"/>
      <c r="B110" s="733"/>
      <c r="C110" s="733"/>
      <c r="D110" s="733"/>
      <c r="E110" s="733"/>
      <c r="F110" s="697">
        <v>720</v>
      </c>
      <c r="G110" s="697">
        <v>72095</v>
      </c>
      <c r="H110" s="43">
        <v>6057</v>
      </c>
      <c r="I110" s="43">
        <f>Q110</f>
        <v>1068407</v>
      </c>
      <c r="J110" s="332"/>
      <c r="K110" s="332"/>
      <c r="L110" s="332">
        <f>J110+K110</f>
        <v>0</v>
      </c>
      <c r="M110" s="43">
        <v>888207</v>
      </c>
      <c r="N110" s="43">
        <v>141100</v>
      </c>
      <c r="O110" s="43">
        <v>39100</v>
      </c>
      <c r="P110" s="43"/>
      <c r="Q110" s="463">
        <f t="shared" si="16"/>
        <v>1068407</v>
      </c>
    </row>
    <row r="111" spans="1:17" s="33" customFormat="1" ht="17.25" customHeight="1">
      <c r="A111" s="746"/>
      <c r="B111" s="733"/>
      <c r="C111" s="733"/>
      <c r="D111" s="733"/>
      <c r="E111" s="733"/>
      <c r="F111" s="731"/>
      <c r="G111" s="731"/>
      <c r="H111" s="415">
        <v>6059</v>
      </c>
      <c r="I111" s="415">
        <f>Q111</f>
        <v>188543</v>
      </c>
      <c r="J111" s="333"/>
      <c r="K111" s="333"/>
      <c r="L111" s="333">
        <f>J111+K111</f>
        <v>0</v>
      </c>
      <c r="M111" s="415">
        <v>156743</v>
      </c>
      <c r="N111" s="415">
        <v>24900</v>
      </c>
      <c r="O111" s="415">
        <v>6900</v>
      </c>
      <c r="P111" s="415"/>
      <c r="Q111" s="463">
        <f t="shared" si="16"/>
        <v>188543</v>
      </c>
    </row>
    <row r="112" spans="1:17" s="33" customFormat="1" ht="18.75" customHeight="1">
      <c r="A112" s="745" t="s">
        <v>442</v>
      </c>
      <c r="B112" s="734" t="s">
        <v>413</v>
      </c>
      <c r="C112" s="695" t="s">
        <v>173</v>
      </c>
      <c r="D112" s="695">
        <v>2012</v>
      </c>
      <c r="E112" s="695">
        <v>2013</v>
      </c>
      <c r="F112" s="742" t="s">
        <v>164</v>
      </c>
      <c r="G112" s="743"/>
      <c r="H112" s="744"/>
      <c r="I112" s="132">
        <f>SUM(I113:I115)</f>
        <v>2093429</v>
      </c>
      <c r="J112" s="327">
        <f>SUM(J113:J115)</f>
        <v>7849</v>
      </c>
      <c r="K112" s="327">
        <f>SUM(K113:K115)</f>
        <v>0</v>
      </c>
      <c r="L112" s="327">
        <f>SUM(L113:L115)</f>
        <v>7849</v>
      </c>
      <c r="M112" s="315">
        <f>SUM(M113:M115)</f>
        <v>2085580</v>
      </c>
      <c r="N112" s="132">
        <f>SUM(N113:N114)</f>
        <v>0</v>
      </c>
      <c r="O112" s="132">
        <f>SUM(O113:O114)</f>
        <v>0</v>
      </c>
      <c r="P112" s="132">
        <f>SUM(P113:P114)</f>
        <v>0</v>
      </c>
      <c r="Q112" s="463">
        <f t="shared" si="16"/>
        <v>2093429</v>
      </c>
    </row>
    <row r="113" spans="1:17" s="33" customFormat="1" ht="16.5" customHeight="1">
      <c r="A113" s="746"/>
      <c r="B113" s="733"/>
      <c r="C113" s="733"/>
      <c r="D113" s="733"/>
      <c r="E113" s="733"/>
      <c r="F113" s="697">
        <v>720</v>
      </c>
      <c r="G113" s="697">
        <v>72095</v>
      </c>
      <c r="H113" s="43">
        <v>6057</v>
      </c>
      <c r="I113" s="43">
        <f>Q113</f>
        <v>1512503</v>
      </c>
      <c r="J113" s="332">
        <v>5670</v>
      </c>
      <c r="K113" s="332"/>
      <c r="L113" s="332">
        <f>J113+K113</f>
        <v>5670</v>
      </c>
      <c r="M113" s="43">
        <v>1506833</v>
      </c>
      <c r="N113" s="43"/>
      <c r="O113" s="43"/>
      <c r="P113" s="43"/>
      <c r="Q113" s="463">
        <f>SUM(L113:M113)</f>
        <v>1512503</v>
      </c>
    </row>
    <row r="114" spans="1:17" s="33" customFormat="1" ht="17.25" customHeight="1">
      <c r="A114" s="746"/>
      <c r="B114" s="733"/>
      <c r="C114" s="733"/>
      <c r="D114" s="733"/>
      <c r="E114" s="733"/>
      <c r="F114" s="731"/>
      <c r="G114" s="731"/>
      <c r="H114" s="415" t="s">
        <v>414</v>
      </c>
      <c r="I114" s="415">
        <f>Q114</f>
        <v>266912</v>
      </c>
      <c r="J114" s="333">
        <v>1001</v>
      </c>
      <c r="K114" s="333"/>
      <c r="L114" s="333">
        <f>J114+K114</f>
        <v>1001</v>
      </c>
      <c r="M114" s="43">
        <v>265911</v>
      </c>
      <c r="N114" s="43"/>
      <c r="O114" s="43"/>
      <c r="P114" s="43"/>
      <c r="Q114" s="463">
        <f>SUM(L114:P114)</f>
        <v>266912</v>
      </c>
    </row>
    <row r="115" spans="1:17" s="33" customFormat="1" ht="17.25" customHeight="1">
      <c r="A115" s="747"/>
      <c r="B115" s="732"/>
      <c r="C115" s="732"/>
      <c r="D115" s="732"/>
      <c r="E115" s="732"/>
      <c r="F115" s="732"/>
      <c r="G115" s="732"/>
      <c r="H115" s="499" t="s">
        <v>415</v>
      </c>
      <c r="I115" s="499">
        <v>314014</v>
      </c>
      <c r="J115" s="500">
        <v>1178</v>
      </c>
      <c r="K115" s="500"/>
      <c r="L115" s="500">
        <v>1178</v>
      </c>
      <c r="M115" s="499">
        <v>312836</v>
      </c>
      <c r="N115" s="499"/>
      <c r="O115" s="499"/>
      <c r="P115" s="499"/>
      <c r="Q115" s="503">
        <f>SUM(L115:P115)</f>
        <v>314014</v>
      </c>
    </row>
    <row r="116" spans="1:17" s="456" customFormat="1" ht="71.25" customHeight="1">
      <c r="A116" s="460" t="s">
        <v>193</v>
      </c>
      <c r="B116" s="426" t="s">
        <v>194</v>
      </c>
      <c r="C116" s="504"/>
      <c r="D116" s="427" t="s">
        <v>79</v>
      </c>
      <c r="E116" s="504" t="s">
        <v>79</v>
      </c>
      <c r="F116" s="504"/>
      <c r="G116" s="504"/>
      <c r="H116" s="504"/>
      <c r="I116" s="428">
        <f aca="true" t="shared" si="18" ref="I116:P116">I117</f>
        <v>60933824</v>
      </c>
      <c r="J116" s="429">
        <f t="shared" si="18"/>
        <v>15507598</v>
      </c>
      <c r="K116" s="429">
        <f t="shared" si="18"/>
        <v>0</v>
      </c>
      <c r="L116" s="429">
        <f t="shared" si="18"/>
        <v>15507598</v>
      </c>
      <c r="M116" s="428">
        <f t="shared" si="18"/>
        <v>15927944</v>
      </c>
      <c r="N116" s="428">
        <f t="shared" si="18"/>
        <v>16202718</v>
      </c>
      <c r="O116" s="428">
        <f t="shared" si="18"/>
        <v>9236800</v>
      </c>
      <c r="P116" s="428">
        <f t="shared" si="18"/>
        <v>3881000</v>
      </c>
      <c r="Q116" s="514">
        <f>SUM(L116:P116)</f>
        <v>60756060</v>
      </c>
    </row>
    <row r="117" spans="1:18" s="29" customFormat="1" ht="25.5" customHeight="1">
      <c r="A117" s="462"/>
      <c r="B117" s="256" t="s">
        <v>153</v>
      </c>
      <c r="C117" s="425"/>
      <c r="D117" s="422" t="s">
        <v>79</v>
      </c>
      <c r="E117" s="159" t="s">
        <v>79</v>
      </c>
      <c r="F117" s="159"/>
      <c r="G117" s="159"/>
      <c r="H117" s="159"/>
      <c r="I117" s="457">
        <f aca="true" t="shared" si="19" ref="I117:Q117">SUM(I118:I124,I131:I133,I134,I139:I149,I162:I165,I166:I190,I191,I198,I212,I216:I222)</f>
        <v>60933824</v>
      </c>
      <c r="J117" s="327">
        <f t="shared" si="19"/>
        <v>15507598</v>
      </c>
      <c r="K117" s="327">
        <f t="shared" si="19"/>
        <v>0</v>
      </c>
      <c r="L117" s="327">
        <f t="shared" si="19"/>
        <v>15507598</v>
      </c>
      <c r="M117" s="457">
        <f t="shared" si="19"/>
        <v>15927944</v>
      </c>
      <c r="N117" s="457">
        <f t="shared" si="19"/>
        <v>16202718</v>
      </c>
      <c r="O117" s="457">
        <f t="shared" si="19"/>
        <v>9236800</v>
      </c>
      <c r="P117" s="457">
        <f t="shared" si="19"/>
        <v>3881000</v>
      </c>
      <c r="Q117" s="457">
        <f t="shared" si="19"/>
        <v>60756060</v>
      </c>
      <c r="R117" s="243">
        <f>SUM(L117:P117)</f>
        <v>60756060</v>
      </c>
    </row>
    <row r="118" spans="1:18" ht="27" customHeight="1">
      <c r="A118" s="515" t="s">
        <v>156</v>
      </c>
      <c r="B118" s="257" t="s">
        <v>298</v>
      </c>
      <c r="C118" s="344" t="s">
        <v>173</v>
      </c>
      <c r="D118" s="422">
        <v>2012</v>
      </c>
      <c r="E118" s="422">
        <v>2016</v>
      </c>
      <c r="F118" s="422">
        <v>600</v>
      </c>
      <c r="G118" s="422">
        <v>60004</v>
      </c>
      <c r="H118" s="422">
        <v>2310</v>
      </c>
      <c r="I118" s="38">
        <v>3000000</v>
      </c>
      <c r="J118" s="332">
        <v>600000</v>
      </c>
      <c r="K118" s="332"/>
      <c r="L118" s="332">
        <f aca="true" t="shared" si="20" ref="L118:L124">J118+K118</f>
        <v>600000</v>
      </c>
      <c r="M118" s="38">
        <v>600000</v>
      </c>
      <c r="N118" s="38">
        <v>600000</v>
      </c>
      <c r="O118" s="38">
        <v>600000</v>
      </c>
      <c r="P118" s="38">
        <v>600000</v>
      </c>
      <c r="Q118" s="463">
        <f aca="true" t="shared" si="21" ref="Q118:Q186">SUM(L118:P118)</f>
        <v>3000000</v>
      </c>
      <c r="R118" s="14">
        <f>Q117-R117</f>
        <v>0</v>
      </c>
    </row>
    <row r="119" spans="1:18" ht="25.5" customHeight="1">
      <c r="A119" s="515" t="s">
        <v>113</v>
      </c>
      <c r="B119" s="257" t="s">
        <v>299</v>
      </c>
      <c r="C119" s="344" t="s">
        <v>173</v>
      </c>
      <c r="D119" s="422">
        <v>2012</v>
      </c>
      <c r="E119" s="422">
        <v>2016</v>
      </c>
      <c r="F119" s="422">
        <v>600</v>
      </c>
      <c r="G119" s="422">
        <v>60004</v>
      </c>
      <c r="H119" s="422">
        <v>2310</v>
      </c>
      <c r="I119" s="38">
        <f>Q119</f>
        <v>5850000</v>
      </c>
      <c r="J119" s="332">
        <v>1170000</v>
      </c>
      <c r="K119" s="332"/>
      <c r="L119" s="332">
        <f t="shared" si="20"/>
        <v>1170000</v>
      </c>
      <c r="M119" s="38">
        <v>1170000</v>
      </c>
      <c r="N119" s="38">
        <v>1170000</v>
      </c>
      <c r="O119" s="38">
        <v>1170000</v>
      </c>
      <c r="P119" s="38">
        <v>1170000</v>
      </c>
      <c r="Q119" s="463">
        <f t="shared" si="21"/>
        <v>5850000</v>
      </c>
      <c r="R119" s="14">
        <f>J117+K117</f>
        <v>15507598</v>
      </c>
    </row>
    <row r="120" spans="1:17" ht="25.5" customHeight="1">
      <c r="A120" s="515" t="s">
        <v>115</v>
      </c>
      <c r="B120" s="257" t="s">
        <v>364</v>
      </c>
      <c r="C120" s="344" t="s">
        <v>173</v>
      </c>
      <c r="D120" s="422">
        <v>2012</v>
      </c>
      <c r="E120" s="422">
        <v>2016</v>
      </c>
      <c r="F120" s="422">
        <v>600</v>
      </c>
      <c r="G120" s="422">
        <v>60004</v>
      </c>
      <c r="H120" s="422">
        <v>4300</v>
      </c>
      <c r="I120" s="38">
        <f>Q120</f>
        <v>5256748</v>
      </c>
      <c r="J120" s="332">
        <v>766748</v>
      </c>
      <c r="K120" s="332"/>
      <c r="L120" s="332">
        <f t="shared" si="20"/>
        <v>766748</v>
      </c>
      <c r="M120" s="38">
        <v>980000</v>
      </c>
      <c r="N120" s="38">
        <v>1170000</v>
      </c>
      <c r="O120" s="38">
        <v>1170000</v>
      </c>
      <c r="P120" s="38">
        <v>1170000</v>
      </c>
      <c r="Q120" s="463">
        <f t="shared" si="21"/>
        <v>5256748</v>
      </c>
    </row>
    <row r="121" spans="1:17" ht="21" customHeight="1">
      <c r="A121" s="515" t="s">
        <v>117</v>
      </c>
      <c r="B121" s="257" t="s">
        <v>248</v>
      </c>
      <c r="C121" s="344" t="s">
        <v>173</v>
      </c>
      <c r="D121" s="422">
        <v>2011</v>
      </c>
      <c r="E121" s="422">
        <v>2014</v>
      </c>
      <c r="F121" s="422">
        <v>600</v>
      </c>
      <c r="G121" s="422">
        <v>60016</v>
      </c>
      <c r="H121" s="422">
        <v>4270</v>
      </c>
      <c r="I121" s="38">
        <f>Q121+200000</f>
        <v>9900000</v>
      </c>
      <c r="J121" s="332">
        <v>3700000</v>
      </c>
      <c r="K121" s="332"/>
      <c r="L121" s="332">
        <f t="shared" si="20"/>
        <v>3700000</v>
      </c>
      <c r="M121" s="38">
        <v>3000000</v>
      </c>
      <c r="N121" s="38">
        <v>3000000</v>
      </c>
      <c r="O121" s="38">
        <v>0</v>
      </c>
      <c r="P121" s="38">
        <v>0</v>
      </c>
      <c r="Q121" s="463">
        <f t="shared" si="21"/>
        <v>9700000</v>
      </c>
    </row>
    <row r="122" spans="1:17" ht="21" customHeight="1">
      <c r="A122" s="515" t="s">
        <v>119</v>
      </c>
      <c r="B122" s="257" t="s">
        <v>253</v>
      </c>
      <c r="C122" s="344" t="s">
        <v>173</v>
      </c>
      <c r="D122" s="422">
        <v>2011</v>
      </c>
      <c r="E122" s="422">
        <v>2014</v>
      </c>
      <c r="F122" s="422">
        <v>600</v>
      </c>
      <c r="G122" s="422">
        <v>60016</v>
      </c>
      <c r="H122" s="422">
        <v>4300</v>
      </c>
      <c r="I122" s="38">
        <f>Q122+100000</f>
        <v>1864000</v>
      </c>
      <c r="J122" s="332">
        <v>564000</v>
      </c>
      <c r="K122" s="332"/>
      <c r="L122" s="332">
        <f t="shared" si="20"/>
        <v>564000</v>
      </c>
      <c r="M122" s="38">
        <v>600000</v>
      </c>
      <c r="N122" s="38">
        <v>600000</v>
      </c>
      <c r="O122" s="38">
        <v>0</v>
      </c>
      <c r="P122" s="38">
        <v>0</v>
      </c>
      <c r="Q122" s="463">
        <f t="shared" si="21"/>
        <v>1764000</v>
      </c>
    </row>
    <row r="123" spans="1:17" ht="54.75" customHeight="1">
      <c r="A123" s="515" t="s">
        <v>121</v>
      </c>
      <c r="B123" s="257" t="s">
        <v>232</v>
      </c>
      <c r="C123" s="420" t="s">
        <v>163</v>
      </c>
      <c r="D123" s="422">
        <v>2011</v>
      </c>
      <c r="E123" s="422">
        <v>2014</v>
      </c>
      <c r="F123" s="422">
        <v>600</v>
      </c>
      <c r="G123" s="422">
        <v>60016</v>
      </c>
      <c r="H123" s="422">
        <v>4300</v>
      </c>
      <c r="I123" s="38">
        <v>40626</v>
      </c>
      <c r="J123" s="332">
        <v>20313</v>
      </c>
      <c r="K123" s="332"/>
      <c r="L123" s="332">
        <f t="shared" si="20"/>
        <v>20313</v>
      </c>
      <c r="M123" s="38">
        <v>50000</v>
      </c>
      <c r="N123" s="38">
        <v>500000</v>
      </c>
      <c r="O123" s="38">
        <v>0</v>
      </c>
      <c r="P123" s="38">
        <v>0</v>
      </c>
      <c r="Q123" s="463">
        <f t="shared" si="21"/>
        <v>570313</v>
      </c>
    </row>
    <row r="124" spans="1:17" ht="39" customHeight="1">
      <c r="A124" s="516" t="s">
        <v>123</v>
      </c>
      <c r="B124" s="517" t="s">
        <v>297</v>
      </c>
      <c r="C124" s="518" t="s">
        <v>163</v>
      </c>
      <c r="D124" s="518">
        <v>2012</v>
      </c>
      <c r="E124" s="518">
        <v>2016</v>
      </c>
      <c r="F124" s="518">
        <v>600</v>
      </c>
      <c r="G124" s="518">
        <v>60016</v>
      </c>
      <c r="H124" s="518">
        <v>4400</v>
      </c>
      <c r="I124" s="519">
        <f>Q124</f>
        <v>61833</v>
      </c>
      <c r="J124" s="500">
        <v>1833</v>
      </c>
      <c r="K124" s="500"/>
      <c r="L124" s="500">
        <f t="shared" si="20"/>
        <v>1833</v>
      </c>
      <c r="M124" s="519">
        <v>15000</v>
      </c>
      <c r="N124" s="519">
        <v>15000</v>
      </c>
      <c r="O124" s="519">
        <v>15000</v>
      </c>
      <c r="P124" s="519">
        <v>15000</v>
      </c>
      <c r="Q124" s="503">
        <f t="shared" si="21"/>
        <v>61833</v>
      </c>
    </row>
    <row r="125" spans="1:17" ht="19.5" customHeight="1">
      <c r="A125" s="520"/>
      <c r="B125" s="521"/>
      <c r="C125" s="522"/>
      <c r="D125" s="522"/>
      <c r="E125" s="522"/>
      <c r="F125" s="522"/>
      <c r="G125" s="522"/>
      <c r="H125" s="522"/>
      <c r="I125" s="523"/>
      <c r="J125" s="523"/>
      <c r="K125" s="523"/>
      <c r="L125" s="523"/>
      <c r="M125" s="523"/>
      <c r="N125" s="523"/>
      <c r="O125" s="523"/>
      <c r="P125" s="523"/>
      <c r="Q125" s="524"/>
    </row>
    <row r="126" spans="1:17" ht="13.5" customHeight="1">
      <c r="A126" s="526"/>
      <c r="B126" s="527"/>
      <c r="C126" s="528"/>
      <c r="D126" s="528"/>
      <c r="E126" s="528"/>
      <c r="F126" s="528"/>
      <c r="G126" s="528"/>
      <c r="H126" s="528"/>
      <c r="I126" s="320"/>
      <c r="J126" s="320"/>
      <c r="K126" s="320"/>
      <c r="L126" s="320"/>
      <c r="M126" s="320"/>
      <c r="N126" s="320"/>
      <c r="O126" s="320"/>
      <c r="P126" s="320"/>
      <c r="Q126" s="262"/>
    </row>
    <row r="127" spans="1:17" s="28" customFormat="1" ht="17.25" customHeight="1">
      <c r="A127" s="715" t="s">
        <v>110</v>
      </c>
      <c r="B127" s="719" t="s">
        <v>142</v>
      </c>
      <c r="C127" s="722" t="s">
        <v>143</v>
      </c>
      <c r="D127" s="726" t="s">
        <v>226</v>
      </c>
      <c r="E127" s="726"/>
      <c r="F127" s="726" t="s">
        <v>144</v>
      </c>
      <c r="G127" s="726"/>
      <c r="H127" s="726"/>
      <c r="I127" s="702" t="s">
        <v>145</v>
      </c>
      <c r="J127" s="705" t="s">
        <v>294</v>
      </c>
      <c r="K127" s="705"/>
      <c r="L127" s="705"/>
      <c r="M127" s="705"/>
      <c r="N127" s="705"/>
      <c r="O127" s="705"/>
      <c r="P127" s="705"/>
      <c r="Q127" s="706" t="s">
        <v>146</v>
      </c>
    </row>
    <row r="128" spans="1:17" s="28" customFormat="1" ht="11.25" customHeight="1">
      <c r="A128" s="716"/>
      <c r="B128" s="720"/>
      <c r="C128" s="723"/>
      <c r="D128" s="727"/>
      <c r="E128" s="727"/>
      <c r="F128" s="727"/>
      <c r="G128" s="727"/>
      <c r="H128" s="727"/>
      <c r="I128" s="703"/>
      <c r="J128" s="710">
        <v>2012</v>
      </c>
      <c r="K128" s="711"/>
      <c r="L128" s="711"/>
      <c r="M128" s="712">
        <v>2013</v>
      </c>
      <c r="N128" s="712">
        <v>2014</v>
      </c>
      <c r="O128" s="712">
        <v>2015</v>
      </c>
      <c r="P128" s="712">
        <v>2016</v>
      </c>
      <c r="Q128" s="707"/>
    </row>
    <row r="129" spans="1:17" s="28" customFormat="1" ht="11.25" customHeight="1">
      <c r="A129" s="717"/>
      <c r="B129" s="721"/>
      <c r="C129" s="724"/>
      <c r="D129" s="700" t="s">
        <v>147</v>
      </c>
      <c r="E129" s="700" t="s">
        <v>148</v>
      </c>
      <c r="F129" s="700" t="s">
        <v>149</v>
      </c>
      <c r="G129" s="700" t="s">
        <v>150</v>
      </c>
      <c r="H129" s="700" t="s">
        <v>151</v>
      </c>
      <c r="I129" s="704"/>
      <c r="J129" s="710"/>
      <c r="K129" s="711"/>
      <c r="L129" s="711"/>
      <c r="M129" s="713"/>
      <c r="N129" s="713"/>
      <c r="O129" s="713"/>
      <c r="P129" s="713"/>
      <c r="Q129" s="708"/>
    </row>
    <row r="130" spans="1:17" s="28" customFormat="1" ht="20.25" customHeight="1" thickBot="1">
      <c r="A130" s="718"/>
      <c r="B130" s="701"/>
      <c r="C130" s="725"/>
      <c r="D130" s="701"/>
      <c r="E130" s="701"/>
      <c r="F130" s="701"/>
      <c r="G130" s="701"/>
      <c r="H130" s="701"/>
      <c r="I130" s="701"/>
      <c r="J130" s="326" t="s">
        <v>291</v>
      </c>
      <c r="K130" s="326" t="s">
        <v>292</v>
      </c>
      <c r="L130" s="326" t="s">
        <v>293</v>
      </c>
      <c r="M130" s="714"/>
      <c r="N130" s="714"/>
      <c r="O130" s="714"/>
      <c r="P130" s="714"/>
      <c r="Q130" s="709"/>
    </row>
    <row r="131" spans="1:17" ht="21" customHeight="1">
      <c r="A131" s="515" t="s">
        <v>125</v>
      </c>
      <c r="B131" s="257" t="s">
        <v>300</v>
      </c>
      <c r="C131" s="344" t="s">
        <v>173</v>
      </c>
      <c r="D131" s="422">
        <v>2012</v>
      </c>
      <c r="E131" s="422">
        <v>2013</v>
      </c>
      <c r="F131" s="422">
        <v>700</v>
      </c>
      <c r="G131" s="422">
        <v>70005</v>
      </c>
      <c r="H131" s="422">
        <v>4300</v>
      </c>
      <c r="I131" s="38">
        <f>Q131</f>
        <v>2583</v>
      </c>
      <c r="J131" s="332">
        <v>1476</v>
      </c>
      <c r="K131" s="332"/>
      <c r="L131" s="332">
        <f>J131+K131</f>
        <v>1476</v>
      </c>
      <c r="M131" s="38">
        <v>1107</v>
      </c>
      <c r="N131" s="38">
        <v>0</v>
      </c>
      <c r="O131" s="38">
        <v>0</v>
      </c>
      <c r="P131" s="38">
        <v>0</v>
      </c>
      <c r="Q131" s="463">
        <f t="shared" si="21"/>
        <v>2583</v>
      </c>
    </row>
    <row r="132" spans="1:17" ht="26.25" customHeight="1">
      <c r="A132" s="515" t="s">
        <v>127</v>
      </c>
      <c r="B132" s="257" t="s">
        <v>231</v>
      </c>
      <c r="C132" s="344" t="s">
        <v>173</v>
      </c>
      <c r="D132" s="422">
        <v>2011</v>
      </c>
      <c r="E132" s="422">
        <v>2012</v>
      </c>
      <c r="F132" s="422">
        <v>700</v>
      </c>
      <c r="G132" s="422">
        <v>70005</v>
      </c>
      <c r="H132" s="422">
        <v>4300</v>
      </c>
      <c r="I132" s="38">
        <v>28306</v>
      </c>
      <c r="J132" s="332">
        <v>14153</v>
      </c>
      <c r="K132" s="332"/>
      <c r="L132" s="332">
        <f>J132+K132</f>
        <v>14153</v>
      </c>
      <c r="M132" s="38">
        <v>0</v>
      </c>
      <c r="N132" s="38">
        <v>0</v>
      </c>
      <c r="O132" s="38">
        <v>0</v>
      </c>
      <c r="P132" s="38">
        <v>0</v>
      </c>
      <c r="Q132" s="463">
        <f t="shared" si="21"/>
        <v>14153</v>
      </c>
    </row>
    <row r="133" spans="1:17" ht="21.75" customHeight="1">
      <c r="A133" s="515" t="s">
        <v>130</v>
      </c>
      <c r="B133" s="257" t="s">
        <v>352</v>
      </c>
      <c r="C133" s="344" t="s">
        <v>264</v>
      </c>
      <c r="D133" s="422">
        <v>2011</v>
      </c>
      <c r="E133" s="422">
        <v>2016</v>
      </c>
      <c r="F133" s="422">
        <v>700</v>
      </c>
      <c r="G133" s="422">
        <v>70005</v>
      </c>
      <c r="H133" s="422">
        <v>4300</v>
      </c>
      <c r="I133" s="38">
        <f>Q133</f>
        <v>420000</v>
      </c>
      <c r="J133" s="332">
        <v>20000</v>
      </c>
      <c r="K133" s="332"/>
      <c r="L133" s="332">
        <f>J133+K133</f>
        <v>20000</v>
      </c>
      <c r="M133" s="38">
        <v>100000</v>
      </c>
      <c r="N133" s="38">
        <v>100000</v>
      </c>
      <c r="O133" s="38">
        <v>100000</v>
      </c>
      <c r="P133" s="38">
        <v>100000</v>
      </c>
      <c r="Q133" s="463">
        <f t="shared" si="21"/>
        <v>420000</v>
      </c>
    </row>
    <row r="134" spans="1:17" ht="21.75" customHeight="1">
      <c r="A134" s="728" t="s">
        <v>134</v>
      </c>
      <c r="B134" s="734" t="s">
        <v>420</v>
      </c>
      <c r="C134" s="695" t="s">
        <v>348</v>
      </c>
      <c r="D134" s="695">
        <v>2012</v>
      </c>
      <c r="E134" s="695">
        <v>2013</v>
      </c>
      <c r="F134" s="742" t="s">
        <v>164</v>
      </c>
      <c r="G134" s="743"/>
      <c r="H134" s="744"/>
      <c r="I134" s="132">
        <f>SUM(I135:I136)</f>
        <v>619920</v>
      </c>
      <c r="J134" s="327">
        <f>SUM(J135:J136)</f>
        <v>61500</v>
      </c>
      <c r="K134" s="327">
        <f aca="true" t="shared" si="22" ref="K134:Q134">SUM(K135:K136)</f>
        <v>0</v>
      </c>
      <c r="L134" s="327">
        <f t="shared" si="22"/>
        <v>61500</v>
      </c>
      <c r="M134" s="132">
        <f t="shared" si="22"/>
        <v>558420</v>
      </c>
      <c r="N134" s="132">
        <f t="shared" si="22"/>
        <v>0</v>
      </c>
      <c r="O134" s="132">
        <f t="shared" si="22"/>
        <v>0</v>
      </c>
      <c r="P134" s="132">
        <f t="shared" si="22"/>
        <v>0</v>
      </c>
      <c r="Q134" s="512">
        <f t="shared" si="22"/>
        <v>619920</v>
      </c>
    </row>
    <row r="135" spans="1:17" ht="21.75" customHeight="1">
      <c r="A135" s="729"/>
      <c r="B135" s="733"/>
      <c r="C135" s="733"/>
      <c r="D135" s="733"/>
      <c r="E135" s="733"/>
      <c r="F135" s="697">
        <v>700</v>
      </c>
      <c r="G135" s="697">
        <v>70005</v>
      </c>
      <c r="H135" s="43">
        <v>4307</v>
      </c>
      <c r="I135" s="43">
        <f>Q135</f>
        <v>428400</v>
      </c>
      <c r="J135" s="332">
        <v>42500</v>
      </c>
      <c r="K135" s="327"/>
      <c r="L135" s="332">
        <f aca="true" t="shared" si="23" ref="L135:L148">J135+K135</f>
        <v>42500</v>
      </c>
      <c r="M135" s="43">
        <v>385900</v>
      </c>
      <c r="N135" s="43"/>
      <c r="O135" s="43"/>
      <c r="P135" s="43"/>
      <c r="Q135" s="463">
        <f>SUM(L135:P135)</f>
        <v>428400</v>
      </c>
    </row>
    <row r="136" spans="1:17" ht="21.75" customHeight="1">
      <c r="A136" s="730"/>
      <c r="B136" s="733"/>
      <c r="C136" s="733"/>
      <c r="D136" s="733"/>
      <c r="E136" s="733"/>
      <c r="F136" s="731"/>
      <c r="G136" s="731"/>
      <c r="H136" s="558">
        <v>4309</v>
      </c>
      <c r="I136" s="558">
        <f>Q136</f>
        <v>191520</v>
      </c>
      <c r="J136" s="333">
        <v>19000</v>
      </c>
      <c r="K136" s="332"/>
      <c r="L136" s="333">
        <f t="shared" si="23"/>
        <v>19000</v>
      </c>
      <c r="M136" s="558">
        <v>172520</v>
      </c>
      <c r="N136" s="558"/>
      <c r="O136" s="558"/>
      <c r="P136" s="558"/>
      <c r="Q136" s="513">
        <f>SUM(L136:P136)</f>
        <v>191520</v>
      </c>
    </row>
    <row r="137" spans="1:17" ht="21.75" customHeight="1">
      <c r="A137" s="560" t="s">
        <v>136</v>
      </c>
      <c r="B137" s="257" t="s">
        <v>303</v>
      </c>
      <c r="C137" s="344" t="s">
        <v>173</v>
      </c>
      <c r="D137" s="422">
        <v>2012</v>
      </c>
      <c r="E137" s="422">
        <v>2014</v>
      </c>
      <c r="F137" s="422">
        <v>700</v>
      </c>
      <c r="G137" s="422">
        <v>70005</v>
      </c>
      <c r="H137" s="422">
        <v>4400</v>
      </c>
      <c r="I137" s="38">
        <f>Q137</f>
        <v>54255</v>
      </c>
      <c r="J137" s="332">
        <v>17555</v>
      </c>
      <c r="K137" s="333"/>
      <c r="L137" s="332">
        <f t="shared" si="23"/>
        <v>17555</v>
      </c>
      <c r="M137" s="38">
        <v>18100</v>
      </c>
      <c r="N137" s="38">
        <v>18600</v>
      </c>
      <c r="O137" s="38"/>
      <c r="P137" s="38"/>
      <c r="Q137" s="463">
        <f>SUM(L137:P137)</f>
        <v>54255</v>
      </c>
    </row>
    <row r="138" spans="1:17" ht="29.25" customHeight="1">
      <c r="A138" s="560" t="s">
        <v>138</v>
      </c>
      <c r="B138" s="257" t="s">
        <v>200</v>
      </c>
      <c r="C138" s="344" t="s">
        <v>199</v>
      </c>
      <c r="D138" s="422">
        <v>2011</v>
      </c>
      <c r="E138" s="422">
        <v>2013</v>
      </c>
      <c r="F138" s="422">
        <v>700</v>
      </c>
      <c r="G138" s="422">
        <v>70005</v>
      </c>
      <c r="H138" s="422">
        <v>4400</v>
      </c>
      <c r="I138" s="38">
        <v>9000</v>
      </c>
      <c r="J138" s="332">
        <v>3600</v>
      </c>
      <c r="K138" s="332"/>
      <c r="L138" s="332">
        <f t="shared" si="23"/>
        <v>3600</v>
      </c>
      <c r="M138" s="422">
        <v>1800</v>
      </c>
      <c r="N138" s="38">
        <v>0</v>
      </c>
      <c r="O138" s="38">
        <v>0</v>
      </c>
      <c r="P138" s="38">
        <v>0</v>
      </c>
      <c r="Q138" s="463">
        <f>SUM(L138:P138)</f>
        <v>5400</v>
      </c>
    </row>
    <row r="139" spans="1:17" ht="31.5" customHeight="1">
      <c r="A139" s="560" t="s">
        <v>139</v>
      </c>
      <c r="B139" s="257" t="s">
        <v>195</v>
      </c>
      <c r="C139" s="344" t="s">
        <v>173</v>
      </c>
      <c r="D139" s="422">
        <v>2011</v>
      </c>
      <c r="E139" s="422">
        <v>2012</v>
      </c>
      <c r="F139" s="422">
        <v>700</v>
      </c>
      <c r="G139" s="422">
        <v>70005</v>
      </c>
      <c r="H139" s="422">
        <v>4400</v>
      </c>
      <c r="I139" s="38">
        <v>44344</v>
      </c>
      <c r="J139" s="332">
        <v>22172</v>
      </c>
      <c r="K139" s="332"/>
      <c r="L139" s="332">
        <f t="shared" si="23"/>
        <v>22172</v>
      </c>
      <c r="M139" s="38">
        <v>0</v>
      </c>
      <c r="N139" s="38">
        <v>0</v>
      </c>
      <c r="O139" s="38">
        <v>0</v>
      </c>
      <c r="P139" s="38">
        <v>0</v>
      </c>
      <c r="Q139" s="463">
        <f t="shared" si="21"/>
        <v>22172</v>
      </c>
    </row>
    <row r="140" spans="1:17" ht="31.5" customHeight="1">
      <c r="A140" s="560" t="s">
        <v>203</v>
      </c>
      <c r="B140" s="257" t="s">
        <v>431</v>
      </c>
      <c r="C140" s="344" t="s">
        <v>348</v>
      </c>
      <c r="D140" s="422">
        <v>2012</v>
      </c>
      <c r="E140" s="422">
        <v>2013</v>
      </c>
      <c r="F140" s="422">
        <v>700</v>
      </c>
      <c r="G140" s="422">
        <v>70005</v>
      </c>
      <c r="H140" s="422">
        <v>4400</v>
      </c>
      <c r="I140" s="38">
        <f>Q140</f>
        <v>220000</v>
      </c>
      <c r="J140" s="332">
        <v>140000</v>
      </c>
      <c r="K140" s="332"/>
      <c r="L140" s="332">
        <f t="shared" si="23"/>
        <v>140000</v>
      </c>
      <c r="M140" s="316">
        <v>80000</v>
      </c>
      <c r="N140" s="316"/>
      <c r="O140" s="316"/>
      <c r="P140" s="38"/>
      <c r="Q140" s="463">
        <f>SUM(L140:P140)</f>
        <v>220000</v>
      </c>
    </row>
    <row r="141" spans="1:17" ht="51.75" customHeight="1">
      <c r="A141" s="560" t="s">
        <v>259</v>
      </c>
      <c r="B141" s="257" t="s">
        <v>233</v>
      </c>
      <c r="C141" s="344" t="s">
        <v>199</v>
      </c>
      <c r="D141" s="422">
        <v>2011</v>
      </c>
      <c r="E141" s="422">
        <v>2013</v>
      </c>
      <c r="F141" s="422">
        <v>700</v>
      </c>
      <c r="G141" s="422">
        <v>70005</v>
      </c>
      <c r="H141" s="422">
        <v>4400</v>
      </c>
      <c r="I141" s="38">
        <v>252000</v>
      </c>
      <c r="J141" s="332">
        <v>108000</v>
      </c>
      <c r="K141" s="332"/>
      <c r="L141" s="332">
        <f t="shared" si="23"/>
        <v>108000</v>
      </c>
      <c r="M141" s="38">
        <v>36000</v>
      </c>
      <c r="N141" s="38">
        <v>0</v>
      </c>
      <c r="O141" s="38">
        <v>0</v>
      </c>
      <c r="P141" s="38">
        <v>0</v>
      </c>
      <c r="Q141" s="463">
        <f t="shared" si="21"/>
        <v>144000</v>
      </c>
    </row>
    <row r="142" spans="1:17" ht="29.25" customHeight="1">
      <c r="A142" s="560" t="s">
        <v>260</v>
      </c>
      <c r="B142" s="257" t="s">
        <v>296</v>
      </c>
      <c r="C142" s="344" t="s">
        <v>199</v>
      </c>
      <c r="D142" s="422">
        <v>2012</v>
      </c>
      <c r="E142" s="422">
        <v>2016</v>
      </c>
      <c r="F142" s="422">
        <v>700</v>
      </c>
      <c r="G142" s="422">
        <v>70005</v>
      </c>
      <c r="H142" s="422">
        <v>4400</v>
      </c>
      <c r="I142" s="38">
        <f>Q142</f>
        <v>1738937</v>
      </c>
      <c r="J142" s="332">
        <v>385937</v>
      </c>
      <c r="K142" s="332"/>
      <c r="L142" s="332">
        <f t="shared" si="23"/>
        <v>385937</v>
      </c>
      <c r="M142" s="38">
        <v>369000</v>
      </c>
      <c r="N142" s="38">
        <v>369000</v>
      </c>
      <c r="O142" s="38">
        <v>369000</v>
      </c>
      <c r="P142" s="38">
        <v>246000</v>
      </c>
      <c r="Q142" s="463">
        <f>SUM(L142:P142)</f>
        <v>1738937</v>
      </c>
    </row>
    <row r="143" spans="1:17" ht="29.25" customHeight="1">
      <c r="A143" s="560" t="s">
        <v>261</v>
      </c>
      <c r="B143" s="257" t="s">
        <v>290</v>
      </c>
      <c r="C143" s="344" t="s">
        <v>173</v>
      </c>
      <c r="D143" s="422">
        <v>2011</v>
      </c>
      <c r="E143" s="422">
        <v>2012</v>
      </c>
      <c r="F143" s="422">
        <v>700</v>
      </c>
      <c r="G143" s="422">
        <v>70005</v>
      </c>
      <c r="H143" s="422">
        <v>4400</v>
      </c>
      <c r="I143" s="38">
        <v>73800</v>
      </c>
      <c r="J143" s="332">
        <v>67650</v>
      </c>
      <c r="K143" s="332"/>
      <c r="L143" s="332">
        <f t="shared" si="23"/>
        <v>67650</v>
      </c>
      <c r="M143" s="38"/>
      <c r="N143" s="38"/>
      <c r="O143" s="38"/>
      <c r="P143" s="38"/>
      <c r="Q143" s="463">
        <f>SUM(L143:P143)</f>
        <v>67650</v>
      </c>
    </row>
    <row r="144" spans="1:17" ht="29.25" customHeight="1">
      <c r="A144" s="515" t="s">
        <v>262</v>
      </c>
      <c r="B144" s="257" t="s">
        <v>336</v>
      </c>
      <c r="C144" s="344" t="s">
        <v>173</v>
      </c>
      <c r="D144" s="422">
        <v>2011</v>
      </c>
      <c r="E144" s="422">
        <v>2014</v>
      </c>
      <c r="F144" s="422">
        <v>700</v>
      </c>
      <c r="G144" s="422">
        <v>70005</v>
      </c>
      <c r="H144" s="422">
        <v>4400</v>
      </c>
      <c r="I144" s="38">
        <f>Q144</f>
        <v>574656</v>
      </c>
      <c r="J144" s="332">
        <v>182028</v>
      </c>
      <c r="K144" s="332"/>
      <c r="L144" s="332">
        <f t="shared" si="23"/>
        <v>182028</v>
      </c>
      <c r="M144" s="316">
        <v>208854</v>
      </c>
      <c r="N144" s="316">
        <v>183774</v>
      </c>
      <c r="O144" s="316"/>
      <c r="P144" s="38"/>
      <c r="Q144" s="463">
        <f t="shared" si="21"/>
        <v>574656</v>
      </c>
    </row>
    <row r="145" spans="1:17" ht="29.25" customHeight="1">
      <c r="A145" s="515" t="s">
        <v>263</v>
      </c>
      <c r="B145" s="257" t="s">
        <v>386</v>
      </c>
      <c r="C145" s="344" t="s">
        <v>199</v>
      </c>
      <c r="D145" s="422">
        <v>2012</v>
      </c>
      <c r="E145" s="422">
        <v>2013</v>
      </c>
      <c r="F145" s="422">
        <v>700</v>
      </c>
      <c r="G145" s="422">
        <v>70005</v>
      </c>
      <c r="H145" s="422">
        <v>4400</v>
      </c>
      <c r="I145" s="38">
        <f>Q145</f>
        <v>5400</v>
      </c>
      <c r="J145" s="332">
        <v>3600</v>
      </c>
      <c r="K145" s="332"/>
      <c r="L145" s="332">
        <f t="shared" si="23"/>
        <v>3600</v>
      </c>
      <c r="M145" s="422">
        <v>1800</v>
      </c>
      <c r="N145" s="38">
        <v>0</v>
      </c>
      <c r="O145" s="38">
        <v>0</v>
      </c>
      <c r="P145" s="38">
        <v>0</v>
      </c>
      <c r="Q145" s="463">
        <f>SUM(L145:P145)</f>
        <v>5400</v>
      </c>
    </row>
    <row r="146" spans="1:17" ht="19.5" customHeight="1">
      <c r="A146" s="515" t="s">
        <v>425</v>
      </c>
      <c r="B146" s="257" t="s">
        <v>421</v>
      </c>
      <c r="C146" s="344" t="s">
        <v>173</v>
      </c>
      <c r="D146" s="422">
        <v>2011</v>
      </c>
      <c r="E146" s="422">
        <v>2013</v>
      </c>
      <c r="F146" s="422">
        <v>700</v>
      </c>
      <c r="G146" s="422">
        <v>70005</v>
      </c>
      <c r="H146" s="422">
        <v>4400</v>
      </c>
      <c r="I146" s="38">
        <f>Q146</f>
        <v>44000</v>
      </c>
      <c r="J146" s="332">
        <v>24000</v>
      </c>
      <c r="K146" s="332"/>
      <c r="L146" s="332">
        <f t="shared" si="23"/>
        <v>24000</v>
      </c>
      <c r="M146" s="316">
        <v>20000</v>
      </c>
      <c r="N146" s="316"/>
      <c r="O146" s="316"/>
      <c r="P146" s="38"/>
      <c r="Q146" s="463">
        <f>SUM(L146:P146)</f>
        <v>44000</v>
      </c>
    </row>
    <row r="147" spans="1:17" ht="21" customHeight="1">
      <c r="A147" s="515" t="s">
        <v>277</v>
      </c>
      <c r="B147" s="257" t="s">
        <v>390</v>
      </c>
      <c r="C147" s="344" t="s">
        <v>199</v>
      </c>
      <c r="D147" s="422">
        <v>2012</v>
      </c>
      <c r="E147" s="422">
        <v>2013</v>
      </c>
      <c r="F147" s="422">
        <v>700</v>
      </c>
      <c r="G147" s="422">
        <v>70005</v>
      </c>
      <c r="H147" s="422">
        <v>4590</v>
      </c>
      <c r="I147" s="38">
        <f>Q147</f>
        <v>3024338</v>
      </c>
      <c r="J147" s="332">
        <v>2824338</v>
      </c>
      <c r="K147" s="332"/>
      <c r="L147" s="332">
        <f t="shared" si="23"/>
        <v>2824338</v>
      </c>
      <c r="M147" s="316">
        <v>200000</v>
      </c>
      <c r="N147" s="316"/>
      <c r="O147" s="316"/>
      <c r="P147" s="38"/>
      <c r="Q147" s="463">
        <f>SUM(L147:P147)</f>
        <v>3024338</v>
      </c>
    </row>
    <row r="148" spans="1:20" ht="21.75" customHeight="1">
      <c r="A148" s="515" t="s">
        <v>278</v>
      </c>
      <c r="B148" s="319" t="s">
        <v>284</v>
      </c>
      <c r="C148" s="344" t="s">
        <v>285</v>
      </c>
      <c r="D148" s="422">
        <v>2011</v>
      </c>
      <c r="E148" s="422">
        <v>2016</v>
      </c>
      <c r="F148" s="422">
        <v>710</v>
      </c>
      <c r="G148" s="422">
        <v>71004</v>
      </c>
      <c r="H148" s="422">
        <v>4300</v>
      </c>
      <c r="I148" s="38">
        <f>Q148+101993</f>
        <v>1621185</v>
      </c>
      <c r="J148" s="332">
        <v>399192</v>
      </c>
      <c r="K148" s="332"/>
      <c r="L148" s="332">
        <f t="shared" si="23"/>
        <v>399192</v>
      </c>
      <c r="M148" s="38">
        <v>280000</v>
      </c>
      <c r="N148" s="38">
        <v>280000</v>
      </c>
      <c r="O148" s="38">
        <v>280000</v>
      </c>
      <c r="P148" s="38">
        <v>280000</v>
      </c>
      <c r="Q148" s="463">
        <f t="shared" si="21"/>
        <v>1519192</v>
      </c>
      <c r="R148" s="525">
        <v>280000</v>
      </c>
      <c r="S148" s="38"/>
      <c r="T148" s="131">
        <f>SUM(N148:R148)</f>
        <v>2639192</v>
      </c>
    </row>
    <row r="149" spans="1:20" ht="26.25" customHeight="1">
      <c r="A149" s="728" t="s">
        <v>282</v>
      </c>
      <c r="B149" s="734" t="s">
        <v>402</v>
      </c>
      <c r="C149" s="695" t="s">
        <v>403</v>
      </c>
      <c r="D149" s="739"/>
      <c r="E149" s="739">
        <v>2013</v>
      </c>
      <c r="F149" s="739">
        <v>720</v>
      </c>
      <c r="G149" s="739">
        <v>72095</v>
      </c>
      <c r="H149" s="159" t="s">
        <v>164</v>
      </c>
      <c r="I149" s="130">
        <f>M149</f>
        <v>90854</v>
      </c>
      <c r="J149" s="327"/>
      <c r="K149" s="327"/>
      <c r="L149" s="570"/>
      <c r="M149" s="130">
        <f>SUM(M150:M161)</f>
        <v>90854</v>
      </c>
      <c r="N149" s="38"/>
      <c r="O149" s="38"/>
      <c r="P149" s="38"/>
      <c r="Q149" s="463">
        <f>M149</f>
        <v>90854</v>
      </c>
      <c r="R149" s="320"/>
      <c r="S149" s="320"/>
      <c r="T149" s="262"/>
    </row>
    <row r="150" spans="1:20" ht="18.75" customHeight="1">
      <c r="A150" s="729"/>
      <c r="B150" s="735"/>
      <c r="C150" s="737"/>
      <c r="D150" s="740"/>
      <c r="E150" s="740"/>
      <c r="F150" s="740"/>
      <c r="G150" s="740"/>
      <c r="H150" s="422">
        <v>4117</v>
      </c>
      <c r="I150" s="38"/>
      <c r="J150" s="332"/>
      <c r="K150" s="332"/>
      <c r="L150" s="571"/>
      <c r="M150" s="38">
        <v>3068</v>
      </c>
      <c r="N150" s="38"/>
      <c r="O150" s="38"/>
      <c r="P150" s="38"/>
      <c r="Q150" s="463">
        <f aca="true" t="shared" si="24" ref="Q150:Q161">M150</f>
        <v>3068</v>
      </c>
      <c r="R150" s="320"/>
      <c r="S150" s="320"/>
      <c r="T150" s="262"/>
    </row>
    <row r="151" spans="1:20" ht="18" customHeight="1">
      <c r="A151" s="729"/>
      <c r="B151" s="735"/>
      <c r="C151" s="737"/>
      <c r="D151" s="740"/>
      <c r="E151" s="740"/>
      <c r="F151" s="740"/>
      <c r="G151" s="740"/>
      <c r="H151" s="422" t="s">
        <v>404</v>
      </c>
      <c r="I151" s="38"/>
      <c r="J151" s="332"/>
      <c r="K151" s="332"/>
      <c r="L151" s="571"/>
      <c r="M151" s="38">
        <v>542</v>
      </c>
      <c r="N151" s="38"/>
      <c r="O151" s="38"/>
      <c r="P151" s="38"/>
      <c r="Q151" s="463">
        <f t="shared" si="24"/>
        <v>542</v>
      </c>
      <c r="R151" s="320"/>
      <c r="S151" s="320"/>
      <c r="T151" s="262"/>
    </row>
    <row r="152" spans="1:20" ht="15.75" customHeight="1">
      <c r="A152" s="729"/>
      <c r="B152" s="735"/>
      <c r="C152" s="737"/>
      <c r="D152" s="740"/>
      <c r="E152" s="740"/>
      <c r="F152" s="740"/>
      <c r="G152" s="740"/>
      <c r="H152" s="422" t="s">
        <v>405</v>
      </c>
      <c r="I152" s="38"/>
      <c r="J152" s="332"/>
      <c r="K152" s="332"/>
      <c r="L152" s="571"/>
      <c r="M152" s="38">
        <v>637</v>
      </c>
      <c r="N152" s="38"/>
      <c r="O152" s="38"/>
      <c r="P152" s="38"/>
      <c r="Q152" s="463">
        <f t="shared" si="24"/>
        <v>637</v>
      </c>
      <c r="R152" s="320"/>
      <c r="S152" s="320"/>
      <c r="T152" s="262"/>
    </row>
    <row r="153" spans="1:20" ht="15.75" customHeight="1">
      <c r="A153" s="729"/>
      <c r="B153" s="735"/>
      <c r="C153" s="737"/>
      <c r="D153" s="740"/>
      <c r="E153" s="740"/>
      <c r="F153" s="740"/>
      <c r="G153" s="740"/>
      <c r="H153" s="422">
        <v>4127</v>
      </c>
      <c r="I153" s="38"/>
      <c r="J153" s="332"/>
      <c r="K153" s="332"/>
      <c r="L153" s="571"/>
      <c r="M153" s="38">
        <v>594</v>
      </c>
      <c r="N153" s="38"/>
      <c r="O153" s="38"/>
      <c r="P153" s="38"/>
      <c r="Q153" s="463">
        <f t="shared" si="24"/>
        <v>594</v>
      </c>
      <c r="R153" s="320"/>
      <c r="S153" s="320"/>
      <c r="T153" s="262"/>
    </row>
    <row r="154" spans="1:20" ht="15.75" customHeight="1">
      <c r="A154" s="729"/>
      <c r="B154" s="735"/>
      <c r="C154" s="737"/>
      <c r="D154" s="740"/>
      <c r="E154" s="740"/>
      <c r="F154" s="740"/>
      <c r="G154" s="740"/>
      <c r="H154" s="422" t="s">
        <v>406</v>
      </c>
      <c r="I154" s="38"/>
      <c r="J154" s="332"/>
      <c r="K154" s="332"/>
      <c r="L154" s="571"/>
      <c r="M154" s="38">
        <v>105</v>
      </c>
      <c r="N154" s="38"/>
      <c r="O154" s="38"/>
      <c r="P154" s="38"/>
      <c r="Q154" s="463">
        <f t="shared" si="24"/>
        <v>105</v>
      </c>
      <c r="R154" s="320"/>
      <c r="S154" s="320"/>
      <c r="T154" s="262"/>
    </row>
    <row r="155" spans="1:20" ht="18" customHeight="1">
      <c r="A155" s="729"/>
      <c r="B155" s="735"/>
      <c r="C155" s="737"/>
      <c r="D155" s="740"/>
      <c r="E155" s="740"/>
      <c r="F155" s="740"/>
      <c r="G155" s="740"/>
      <c r="H155" s="422" t="s">
        <v>407</v>
      </c>
      <c r="I155" s="38"/>
      <c r="J155" s="332"/>
      <c r="K155" s="332"/>
      <c r="L155" s="571"/>
      <c r="M155" s="38">
        <v>123</v>
      </c>
      <c r="N155" s="38"/>
      <c r="O155" s="38"/>
      <c r="P155" s="38"/>
      <c r="Q155" s="463">
        <f t="shared" si="24"/>
        <v>123</v>
      </c>
      <c r="R155" s="320"/>
      <c r="S155" s="320"/>
      <c r="T155" s="262"/>
    </row>
    <row r="156" spans="1:20" ht="17.25" customHeight="1">
      <c r="A156" s="729"/>
      <c r="B156" s="735"/>
      <c r="C156" s="737"/>
      <c r="D156" s="740"/>
      <c r="E156" s="740"/>
      <c r="F156" s="740"/>
      <c r="G156" s="740"/>
      <c r="H156" s="422">
        <v>4177</v>
      </c>
      <c r="I156" s="38"/>
      <c r="J156" s="332"/>
      <c r="K156" s="332"/>
      <c r="L156" s="571"/>
      <c r="M156" s="38">
        <v>17494</v>
      </c>
      <c r="N156" s="38"/>
      <c r="O156" s="38"/>
      <c r="P156" s="38"/>
      <c r="Q156" s="463">
        <f t="shared" si="24"/>
        <v>17494</v>
      </c>
      <c r="R156" s="320"/>
      <c r="S156" s="320"/>
      <c r="T156" s="262"/>
    </row>
    <row r="157" spans="1:20" ht="18" customHeight="1">
      <c r="A157" s="729"/>
      <c r="B157" s="735"/>
      <c r="C157" s="737"/>
      <c r="D157" s="740"/>
      <c r="E157" s="740"/>
      <c r="F157" s="740"/>
      <c r="G157" s="740"/>
      <c r="H157" s="422" t="s">
        <v>408</v>
      </c>
      <c r="I157" s="38"/>
      <c r="J157" s="332"/>
      <c r="K157" s="332"/>
      <c r="L157" s="571"/>
      <c r="M157" s="38">
        <v>3087</v>
      </c>
      <c r="N157" s="38"/>
      <c r="O157" s="38"/>
      <c r="P157" s="38"/>
      <c r="Q157" s="463">
        <f t="shared" si="24"/>
        <v>3087</v>
      </c>
      <c r="R157" s="320"/>
      <c r="S157" s="320"/>
      <c r="T157" s="262"/>
    </row>
    <row r="158" spans="1:20" ht="15.75" customHeight="1">
      <c r="A158" s="729"/>
      <c r="B158" s="735"/>
      <c r="C158" s="737"/>
      <c r="D158" s="740"/>
      <c r="E158" s="740"/>
      <c r="F158" s="740"/>
      <c r="G158" s="740"/>
      <c r="H158" s="422" t="s">
        <v>409</v>
      </c>
      <c r="I158" s="38"/>
      <c r="J158" s="332"/>
      <c r="K158" s="332"/>
      <c r="L158" s="571"/>
      <c r="M158" s="38">
        <v>3632</v>
      </c>
      <c r="N158" s="38"/>
      <c r="O158" s="38"/>
      <c r="P158" s="38"/>
      <c r="Q158" s="463">
        <f t="shared" si="24"/>
        <v>3632</v>
      </c>
      <c r="R158" s="320"/>
      <c r="S158" s="320"/>
      <c r="T158" s="262"/>
    </row>
    <row r="159" spans="1:20" ht="17.25" customHeight="1">
      <c r="A159" s="729"/>
      <c r="B159" s="735"/>
      <c r="C159" s="737"/>
      <c r="D159" s="740"/>
      <c r="E159" s="740"/>
      <c r="F159" s="740"/>
      <c r="G159" s="740"/>
      <c r="H159" s="422">
        <v>4307</v>
      </c>
      <c r="I159" s="38"/>
      <c r="J159" s="332"/>
      <c r="K159" s="332"/>
      <c r="L159" s="571"/>
      <c r="M159" s="38">
        <v>44486</v>
      </c>
      <c r="N159" s="38"/>
      <c r="O159" s="38"/>
      <c r="P159" s="38"/>
      <c r="Q159" s="463">
        <f t="shared" si="24"/>
        <v>44486</v>
      </c>
      <c r="R159" s="320"/>
      <c r="S159" s="320"/>
      <c r="T159" s="262"/>
    </row>
    <row r="160" spans="1:20" ht="15.75" customHeight="1">
      <c r="A160" s="729"/>
      <c r="B160" s="735"/>
      <c r="C160" s="737"/>
      <c r="D160" s="740"/>
      <c r="E160" s="740"/>
      <c r="F160" s="740"/>
      <c r="G160" s="740"/>
      <c r="H160" s="422" t="s">
        <v>410</v>
      </c>
      <c r="I160" s="38"/>
      <c r="J160" s="332"/>
      <c r="K160" s="332"/>
      <c r="L160" s="571"/>
      <c r="M160" s="38">
        <v>7850</v>
      </c>
      <c r="N160" s="38"/>
      <c r="O160" s="38"/>
      <c r="P160" s="38"/>
      <c r="Q160" s="463">
        <f t="shared" si="24"/>
        <v>7850</v>
      </c>
      <c r="R160" s="320"/>
      <c r="S160" s="320"/>
      <c r="T160" s="262"/>
    </row>
    <row r="161" spans="1:20" ht="16.5" customHeight="1">
      <c r="A161" s="730"/>
      <c r="B161" s="736"/>
      <c r="C161" s="738"/>
      <c r="D161" s="741"/>
      <c r="E161" s="741"/>
      <c r="F161" s="741"/>
      <c r="G161" s="741"/>
      <c r="H161" s="422" t="s">
        <v>411</v>
      </c>
      <c r="I161" s="38"/>
      <c r="J161" s="332"/>
      <c r="K161" s="332"/>
      <c r="L161" s="571"/>
      <c r="M161" s="38">
        <v>9236</v>
      </c>
      <c r="N161" s="38"/>
      <c r="O161" s="38"/>
      <c r="P161" s="38"/>
      <c r="Q161" s="463">
        <f t="shared" si="24"/>
        <v>9236</v>
      </c>
      <c r="R161" s="320"/>
      <c r="S161" s="320"/>
      <c r="T161" s="262"/>
    </row>
    <row r="162" spans="1:20" ht="21.75" customHeight="1">
      <c r="A162" s="515" t="s">
        <v>286</v>
      </c>
      <c r="B162" s="257" t="s">
        <v>196</v>
      </c>
      <c r="C162" s="344" t="s">
        <v>197</v>
      </c>
      <c r="D162" s="422">
        <v>2011</v>
      </c>
      <c r="E162" s="422">
        <v>2014</v>
      </c>
      <c r="F162" s="422">
        <v>750</v>
      </c>
      <c r="G162" s="422">
        <v>75023</v>
      </c>
      <c r="H162" s="422">
        <v>4300</v>
      </c>
      <c r="I162" s="38">
        <v>549000</v>
      </c>
      <c r="J162" s="332">
        <v>183000</v>
      </c>
      <c r="K162" s="332"/>
      <c r="L162" s="332">
        <f aca="true" t="shared" si="25" ref="L162:L170">J162+K162</f>
        <v>183000</v>
      </c>
      <c r="M162" s="316">
        <v>183000</v>
      </c>
      <c r="N162" s="316">
        <v>183000</v>
      </c>
      <c r="O162" s="316">
        <v>0</v>
      </c>
      <c r="P162" s="38">
        <v>0</v>
      </c>
      <c r="Q162" s="463">
        <f t="shared" si="21"/>
        <v>549000</v>
      </c>
      <c r="R162" s="320"/>
      <c r="S162" s="320"/>
      <c r="T162" s="262"/>
    </row>
    <row r="163" spans="1:20" ht="21.75" customHeight="1">
      <c r="A163" s="515" t="s">
        <v>311</v>
      </c>
      <c r="B163" s="257" t="s">
        <v>198</v>
      </c>
      <c r="C163" s="344" t="s">
        <v>197</v>
      </c>
      <c r="D163" s="422">
        <v>2011</v>
      </c>
      <c r="E163" s="422">
        <v>2012</v>
      </c>
      <c r="F163" s="422">
        <v>750</v>
      </c>
      <c r="G163" s="422">
        <v>75023</v>
      </c>
      <c r="H163" s="422">
        <v>4300</v>
      </c>
      <c r="I163" s="38">
        <v>8198</v>
      </c>
      <c r="J163" s="572">
        <v>4099</v>
      </c>
      <c r="K163" s="572"/>
      <c r="L163" s="332">
        <f t="shared" si="25"/>
        <v>4099</v>
      </c>
      <c r="M163" s="321">
        <v>0</v>
      </c>
      <c r="N163" s="316">
        <v>0</v>
      </c>
      <c r="O163" s="316">
        <v>0</v>
      </c>
      <c r="P163" s="38">
        <v>0</v>
      </c>
      <c r="Q163" s="463">
        <f t="shared" si="21"/>
        <v>4099</v>
      </c>
      <c r="R163" s="320"/>
      <c r="S163" s="320"/>
      <c r="T163" s="262"/>
    </row>
    <row r="164" spans="1:20" ht="38.25" customHeight="1">
      <c r="A164" s="515" t="s">
        <v>312</v>
      </c>
      <c r="B164" s="257" t="s">
        <v>234</v>
      </c>
      <c r="C164" s="344" t="s">
        <v>197</v>
      </c>
      <c r="D164" s="422">
        <v>2011</v>
      </c>
      <c r="E164" s="422">
        <v>2012</v>
      </c>
      <c r="F164" s="422">
        <v>750</v>
      </c>
      <c r="G164" s="422">
        <v>75023</v>
      </c>
      <c r="H164" s="422">
        <v>4300</v>
      </c>
      <c r="I164" s="38">
        <v>6360</v>
      </c>
      <c r="J164" s="572">
        <v>3180</v>
      </c>
      <c r="K164" s="572"/>
      <c r="L164" s="332">
        <f t="shared" si="25"/>
        <v>3180</v>
      </c>
      <c r="M164" s="321">
        <v>0</v>
      </c>
      <c r="N164" s="316">
        <v>0</v>
      </c>
      <c r="O164" s="316">
        <v>0</v>
      </c>
      <c r="P164" s="38">
        <v>0</v>
      </c>
      <c r="Q164" s="463">
        <f t="shared" si="21"/>
        <v>3180</v>
      </c>
      <c r="R164" s="320"/>
      <c r="S164" s="320"/>
      <c r="T164" s="262"/>
    </row>
    <row r="165" spans="1:20" ht="22.5" customHeight="1">
      <c r="A165" s="515" t="s">
        <v>313</v>
      </c>
      <c r="B165" s="517" t="s">
        <v>352</v>
      </c>
      <c r="C165" s="478" t="s">
        <v>264</v>
      </c>
      <c r="D165" s="518">
        <v>2011</v>
      </c>
      <c r="E165" s="518">
        <v>2016</v>
      </c>
      <c r="F165" s="518">
        <v>750</v>
      </c>
      <c r="G165" s="518">
        <v>75023</v>
      </c>
      <c r="H165" s="518">
        <v>4300</v>
      </c>
      <c r="I165" s="519">
        <f>Q165</f>
        <v>1670000</v>
      </c>
      <c r="J165" s="500">
        <v>430000</v>
      </c>
      <c r="K165" s="500"/>
      <c r="L165" s="500">
        <f t="shared" si="25"/>
        <v>430000</v>
      </c>
      <c r="M165" s="519">
        <v>340000</v>
      </c>
      <c r="N165" s="519">
        <v>300000</v>
      </c>
      <c r="O165" s="519">
        <v>300000</v>
      </c>
      <c r="P165" s="519">
        <v>300000</v>
      </c>
      <c r="Q165" s="503">
        <f t="shared" si="21"/>
        <v>1670000</v>
      </c>
      <c r="R165" s="320"/>
      <c r="S165" s="320"/>
      <c r="T165" s="262"/>
    </row>
    <row r="166" spans="1:20" ht="24" customHeight="1">
      <c r="A166" s="515" t="s">
        <v>314</v>
      </c>
      <c r="B166" s="413" t="s">
        <v>337</v>
      </c>
      <c r="C166" s="419" t="s">
        <v>305</v>
      </c>
      <c r="D166" s="421">
        <v>2012</v>
      </c>
      <c r="E166" s="421">
        <v>2015</v>
      </c>
      <c r="F166" s="421">
        <v>750</v>
      </c>
      <c r="G166" s="421">
        <v>75023</v>
      </c>
      <c r="H166" s="421">
        <v>4360</v>
      </c>
      <c r="I166" s="414">
        <f>Q166</f>
        <v>37700</v>
      </c>
      <c r="J166" s="331">
        <v>17050</v>
      </c>
      <c r="K166" s="573"/>
      <c r="L166" s="331">
        <f t="shared" si="25"/>
        <v>17050</v>
      </c>
      <c r="M166" s="530">
        <v>6650</v>
      </c>
      <c r="N166" s="529">
        <v>7000</v>
      </c>
      <c r="O166" s="529">
        <v>7000</v>
      </c>
      <c r="P166" s="414"/>
      <c r="Q166" s="475">
        <f t="shared" si="21"/>
        <v>37700</v>
      </c>
      <c r="R166" s="320"/>
      <c r="S166" s="320"/>
      <c r="T166" s="262"/>
    </row>
    <row r="167" spans="1:20" ht="23.25" customHeight="1">
      <c r="A167" s="515" t="s">
        <v>315</v>
      </c>
      <c r="B167" s="257" t="s">
        <v>304</v>
      </c>
      <c r="C167" s="344" t="s">
        <v>305</v>
      </c>
      <c r="D167" s="422">
        <v>2012</v>
      </c>
      <c r="E167" s="422">
        <v>2014</v>
      </c>
      <c r="F167" s="422">
        <v>750</v>
      </c>
      <c r="G167" s="422">
        <v>75023</v>
      </c>
      <c r="H167" s="422">
        <v>4430</v>
      </c>
      <c r="I167" s="38">
        <f>Q167</f>
        <v>51000</v>
      </c>
      <c r="J167" s="332">
        <v>17000</v>
      </c>
      <c r="K167" s="572"/>
      <c r="L167" s="332">
        <f t="shared" si="25"/>
        <v>17000</v>
      </c>
      <c r="M167" s="321">
        <v>17000</v>
      </c>
      <c r="N167" s="316">
        <v>17000</v>
      </c>
      <c r="O167" s="316"/>
      <c r="P167" s="38"/>
      <c r="Q167" s="463">
        <f t="shared" si="21"/>
        <v>51000</v>
      </c>
      <c r="R167" s="320"/>
      <c r="S167" s="320"/>
      <c r="T167" s="262"/>
    </row>
    <row r="168" spans="1:20" ht="26.25" customHeight="1">
      <c r="A168" s="515" t="s">
        <v>316</v>
      </c>
      <c r="B168" s="257" t="s">
        <v>326</v>
      </c>
      <c r="C168" s="344" t="s">
        <v>305</v>
      </c>
      <c r="D168" s="422">
        <v>2012</v>
      </c>
      <c r="E168" s="422">
        <v>2014</v>
      </c>
      <c r="F168" s="422">
        <v>750</v>
      </c>
      <c r="G168" s="422">
        <v>75023</v>
      </c>
      <c r="H168" s="422">
        <v>4430</v>
      </c>
      <c r="I168" s="38">
        <f>Q168</f>
        <v>45000</v>
      </c>
      <c r="J168" s="332">
        <v>15000</v>
      </c>
      <c r="K168" s="572"/>
      <c r="L168" s="332">
        <f t="shared" si="25"/>
        <v>15000</v>
      </c>
      <c r="M168" s="321">
        <v>15000</v>
      </c>
      <c r="N168" s="316">
        <v>15000</v>
      </c>
      <c r="O168" s="316"/>
      <c r="P168" s="38"/>
      <c r="Q168" s="463">
        <f t="shared" si="21"/>
        <v>45000</v>
      </c>
      <c r="R168" s="320"/>
      <c r="S168" s="320"/>
      <c r="T168" s="262"/>
    </row>
    <row r="169" spans="1:20" ht="25.5" customHeight="1">
      <c r="A169" s="515" t="s">
        <v>317</v>
      </c>
      <c r="B169" s="319" t="s">
        <v>287</v>
      </c>
      <c r="C169" s="344" t="s">
        <v>197</v>
      </c>
      <c r="D169" s="422">
        <v>2011</v>
      </c>
      <c r="E169" s="422">
        <v>2012</v>
      </c>
      <c r="F169" s="422">
        <v>750</v>
      </c>
      <c r="G169" s="422">
        <v>75023</v>
      </c>
      <c r="H169" s="422">
        <v>4300</v>
      </c>
      <c r="I169" s="38">
        <v>79950</v>
      </c>
      <c r="J169" s="332">
        <v>73800</v>
      </c>
      <c r="K169" s="332"/>
      <c r="L169" s="332">
        <f t="shared" si="25"/>
        <v>73800</v>
      </c>
      <c r="M169" s="316"/>
      <c r="N169" s="315"/>
      <c r="O169" s="316"/>
      <c r="P169" s="38"/>
      <c r="Q169" s="463">
        <f t="shared" si="21"/>
        <v>73800</v>
      </c>
      <c r="R169" s="320"/>
      <c r="S169" s="320"/>
      <c r="T169" s="262"/>
    </row>
    <row r="170" spans="1:20" ht="24.75" customHeight="1">
      <c r="A170" s="515" t="s">
        <v>318</v>
      </c>
      <c r="B170" s="257" t="s">
        <v>301</v>
      </c>
      <c r="C170" s="344" t="s">
        <v>173</v>
      </c>
      <c r="D170" s="422">
        <v>2012</v>
      </c>
      <c r="E170" s="422">
        <v>2013</v>
      </c>
      <c r="F170" s="422">
        <v>750</v>
      </c>
      <c r="G170" s="422">
        <v>75023</v>
      </c>
      <c r="H170" s="422">
        <v>4300</v>
      </c>
      <c r="I170" s="38">
        <f aca="true" t="shared" si="26" ref="I170:I176">Q170</f>
        <v>2583</v>
      </c>
      <c r="J170" s="332">
        <v>1476</v>
      </c>
      <c r="K170" s="332"/>
      <c r="L170" s="332">
        <f t="shared" si="25"/>
        <v>1476</v>
      </c>
      <c r="M170" s="38">
        <v>1107</v>
      </c>
      <c r="N170" s="38">
        <v>0</v>
      </c>
      <c r="O170" s="38">
        <v>0</v>
      </c>
      <c r="P170" s="38">
        <v>0</v>
      </c>
      <c r="Q170" s="463">
        <f t="shared" si="21"/>
        <v>2583</v>
      </c>
      <c r="R170" s="320"/>
      <c r="S170" s="320"/>
      <c r="T170" s="262"/>
    </row>
    <row r="171" spans="1:20" ht="44.25" customHeight="1">
      <c r="A171" s="515" t="s">
        <v>319</v>
      </c>
      <c r="B171" s="257" t="s">
        <v>310</v>
      </c>
      <c r="C171" s="344" t="s">
        <v>305</v>
      </c>
      <c r="D171" s="422">
        <v>2012</v>
      </c>
      <c r="E171" s="422">
        <v>2014</v>
      </c>
      <c r="F171" s="422">
        <v>750</v>
      </c>
      <c r="G171" s="422">
        <v>75075</v>
      </c>
      <c r="H171" s="422">
        <v>4300</v>
      </c>
      <c r="I171" s="38">
        <f t="shared" si="26"/>
        <v>669510</v>
      </c>
      <c r="J171" s="332">
        <v>209755</v>
      </c>
      <c r="K171" s="332"/>
      <c r="L171" s="332">
        <f>J171</f>
        <v>209755</v>
      </c>
      <c r="M171" s="38">
        <v>209755</v>
      </c>
      <c r="N171" s="38">
        <v>250000</v>
      </c>
      <c r="O171" s="38"/>
      <c r="P171" s="38"/>
      <c r="Q171" s="463">
        <f t="shared" si="21"/>
        <v>669510</v>
      </c>
      <c r="R171" s="320"/>
      <c r="S171" s="320"/>
      <c r="T171" s="262"/>
    </row>
    <row r="172" spans="1:20" ht="25.5" customHeight="1">
      <c r="A172" s="515" t="s">
        <v>320</v>
      </c>
      <c r="B172" s="257" t="s">
        <v>302</v>
      </c>
      <c r="C172" s="344" t="s">
        <v>173</v>
      </c>
      <c r="D172" s="422">
        <v>2012</v>
      </c>
      <c r="E172" s="422">
        <v>2015</v>
      </c>
      <c r="F172" s="422">
        <v>754</v>
      </c>
      <c r="G172" s="422">
        <v>75412</v>
      </c>
      <c r="H172" s="422">
        <v>4300</v>
      </c>
      <c r="I172" s="38">
        <f t="shared" si="26"/>
        <v>5813</v>
      </c>
      <c r="J172" s="332">
        <v>2952</v>
      </c>
      <c r="K172" s="332"/>
      <c r="L172" s="332">
        <f aca="true" t="shared" si="27" ref="L172:L186">J172+K172</f>
        <v>2952</v>
      </c>
      <c r="M172" s="38">
        <v>861</v>
      </c>
      <c r="N172" s="38">
        <v>1000</v>
      </c>
      <c r="O172" s="38">
        <v>1000</v>
      </c>
      <c r="P172" s="38">
        <v>0</v>
      </c>
      <c r="Q172" s="463">
        <f t="shared" si="21"/>
        <v>5813</v>
      </c>
      <c r="R172" s="320"/>
      <c r="S172" s="320"/>
      <c r="T172" s="262"/>
    </row>
    <row r="173" spans="1:20" ht="27.75" customHeight="1">
      <c r="A173" s="515" t="s">
        <v>321</v>
      </c>
      <c r="B173" s="257" t="s">
        <v>422</v>
      </c>
      <c r="C173" s="344" t="s">
        <v>423</v>
      </c>
      <c r="D173" s="422">
        <v>2012</v>
      </c>
      <c r="E173" s="422">
        <v>2014</v>
      </c>
      <c r="F173" s="422">
        <v>754</v>
      </c>
      <c r="G173" s="422">
        <v>75412</v>
      </c>
      <c r="H173" s="422">
        <v>4400</v>
      </c>
      <c r="I173" s="38">
        <f>Q173</f>
        <v>141362</v>
      </c>
      <c r="J173" s="332">
        <v>10874</v>
      </c>
      <c r="K173" s="332"/>
      <c r="L173" s="332">
        <f>J173+K173</f>
        <v>10874</v>
      </c>
      <c r="M173" s="38">
        <v>65244</v>
      </c>
      <c r="N173" s="38">
        <v>65244</v>
      </c>
      <c r="O173" s="38">
        <v>0</v>
      </c>
      <c r="P173" s="38">
        <v>0</v>
      </c>
      <c r="Q173" s="463">
        <f>SUM(L173:P173)</f>
        <v>141362</v>
      </c>
      <c r="R173" s="320"/>
      <c r="S173" s="320"/>
      <c r="T173" s="262"/>
    </row>
    <row r="174" spans="1:20" ht="25.5" customHeight="1">
      <c r="A174" s="515" t="s">
        <v>322</v>
      </c>
      <c r="B174" s="257" t="s">
        <v>327</v>
      </c>
      <c r="C174" s="344" t="s">
        <v>173</v>
      </c>
      <c r="D174" s="422">
        <v>2012</v>
      </c>
      <c r="E174" s="422">
        <v>2014</v>
      </c>
      <c r="F174" s="422">
        <v>754</v>
      </c>
      <c r="G174" s="422">
        <v>75412</v>
      </c>
      <c r="H174" s="422">
        <v>4430</v>
      </c>
      <c r="I174" s="38">
        <f t="shared" si="26"/>
        <v>105000</v>
      </c>
      <c r="J174" s="332">
        <v>35000</v>
      </c>
      <c r="K174" s="332"/>
      <c r="L174" s="332">
        <f t="shared" si="27"/>
        <v>35000</v>
      </c>
      <c r="M174" s="38">
        <v>35000</v>
      </c>
      <c r="N174" s="38">
        <v>35000</v>
      </c>
      <c r="O174" s="38">
        <v>0</v>
      </c>
      <c r="P174" s="38">
        <v>0</v>
      </c>
      <c r="Q174" s="463">
        <f t="shared" si="21"/>
        <v>105000</v>
      </c>
      <c r="R174" s="320"/>
      <c r="S174" s="320"/>
      <c r="T174" s="262"/>
    </row>
    <row r="175" spans="1:20" ht="25.5" customHeight="1">
      <c r="A175" s="515" t="s">
        <v>323</v>
      </c>
      <c r="B175" s="257" t="s">
        <v>328</v>
      </c>
      <c r="C175" s="344" t="s">
        <v>173</v>
      </c>
      <c r="D175" s="422">
        <v>2012</v>
      </c>
      <c r="E175" s="422">
        <v>2014</v>
      </c>
      <c r="F175" s="422">
        <v>754</v>
      </c>
      <c r="G175" s="422">
        <v>75412</v>
      </c>
      <c r="H175" s="422">
        <v>4430</v>
      </c>
      <c r="I175" s="38">
        <f t="shared" si="26"/>
        <v>16500</v>
      </c>
      <c r="J175" s="332">
        <v>5500</v>
      </c>
      <c r="K175" s="332"/>
      <c r="L175" s="332">
        <f t="shared" si="27"/>
        <v>5500</v>
      </c>
      <c r="M175" s="38">
        <v>5500</v>
      </c>
      <c r="N175" s="38">
        <v>5500</v>
      </c>
      <c r="O175" s="38">
        <v>0</v>
      </c>
      <c r="P175" s="38">
        <v>0</v>
      </c>
      <c r="Q175" s="463">
        <f t="shared" si="21"/>
        <v>16500</v>
      </c>
      <c r="R175" s="320"/>
      <c r="S175" s="320"/>
      <c r="T175" s="262"/>
    </row>
    <row r="176" spans="1:20" ht="25.5" customHeight="1">
      <c r="A176" s="515" t="s">
        <v>324</v>
      </c>
      <c r="B176" s="257" t="s">
        <v>337</v>
      </c>
      <c r="C176" s="344" t="s">
        <v>305</v>
      </c>
      <c r="D176" s="422">
        <v>2012</v>
      </c>
      <c r="E176" s="422">
        <v>2015</v>
      </c>
      <c r="F176" s="422">
        <v>754</v>
      </c>
      <c r="G176" s="422">
        <v>75412</v>
      </c>
      <c r="H176" s="422">
        <v>4360</v>
      </c>
      <c r="I176" s="38">
        <f t="shared" si="26"/>
        <v>4800</v>
      </c>
      <c r="J176" s="332">
        <v>1000</v>
      </c>
      <c r="K176" s="572"/>
      <c r="L176" s="332">
        <f t="shared" si="27"/>
        <v>1000</v>
      </c>
      <c r="M176" s="321">
        <v>1200</v>
      </c>
      <c r="N176" s="316">
        <v>1300</v>
      </c>
      <c r="O176" s="316">
        <v>1300</v>
      </c>
      <c r="P176" s="38"/>
      <c r="Q176" s="463">
        <f t="shared" si="21"/>
        <v>4800</v>
      </c>
      <c r="R176" s="320"/>
      <c r="S176" s="320"/>
      <c r="T176" s="262"/>
    </row>
    <row r="177" spans="1:17" ht="18" customHeight="1">
      <c r="A177" s="515" t="s">
        <v>333</v>
      </c>
      <c r="B177" s="257" t="s">
        <v>257</v>
      </c>
      <c r="C177" s="344" t="s">
        <v>258</v>
      </c>
      <c r="D177" s="422">
        <v>2011</v>
      </c>
      <c r="E177" s="422">
        <v>2014</v>
      </c>
      <c r="F177" s="422">
        <v>801</v>
      </c>
      <c r="G177" s="422">
        <v>80101</v>
      </c>
      <c r="H177" s="422">
        <v>4260</v>
      </c>
      <c r="I177" s="38">
        <f>SUM(J177:N177)</f>
        <v>1380000</v>
      </c>
      <c r="J177" s="332">
        <v>330000</v>
      </c>
      <c r="K177" s="332"/>
      <c r="L177" s="332">
        <f t="shared" si="27"/>
        <v>330000</v>
      </c>
      <c r="M177" s="38">
        <v>350000</v>
      </c>
      <c r="N177" s="38">
        <v>370000</v>
      </c>
      <c r="O177" s="38"/>
      <c r="P177" s="38"/>
      <c r="Q177" s="463">
        <f t="shared" si="21"/>
        <v>1050000</v>
      </c>
    </row>
    <row r="178" spans="1:17" ht="24.75" customHeight="1">
      <c r="A178" s="515" t="s">
        <v>334</v>
      </c>
      <c r="B178" s="531" t="s">
        <v>340</v>
      </c>
      <c r="C178" s="416" t="s">
        <v>258</v>
      </c>
      <c r="D178" s="420">
        <v>2012</v>
      </c>
      <c r="E178" s="420">
        <v>2014</v>
      </c>
      <c r="F178" s="420">
        <v>801</v>
      </c>
      <c r="G178" s="420">
        <v>80101</v>
      </c>
      <c r="H178" s="420">
        <v>4300</v>
      </c>
      <c r="I178" s="534">
        <f>Q178</f>
        <v>7200</v>
      </c>
      <c r="J178" s="333">
        <v>2400</v>
      </c>
      <c r="K178" s="574"/>
      <c r="L178" s="333">
        <f t="shared" si="27"/>
        <v>2400</v>
      </c>
      <c r="M178" s="536">
        <v>2400</v>
      </c>
      <c r="N178" s="535">
        <v>2400</v>
      </c>
      <c r="O178" s="535"/>
      <c r="P178" s="534"/>
      <c r="Q178" s="513">
        <f t="shared" si="21"/>
        <v>7200</v>
      </c>
    </row>
    <row r="179" spans="1:17" ht="24.75" customHeight="1">
      <c r="A179" s="515" t="s">
        <v>335</v>
      </c>
      <c r="B179" s="537" t="s">
        <v>337</v>
      </c>
      <c r="C179" s="538" t="s">
        <v>258</v>
      </c>
      <c r="D179" s="539">
        <v>2012</v>
      </c>
      <c r="E179" s="539">
        <v>2015</v>
      </c>
      <c r="F179" s="539">
        <v>801</v>
      </c>
      <c r="G179" s="539">
        <v>80101</v>
      </c>
      <c r="H179" s="539">
        <v>4360</v>
      </c>
      <c r="I179" s="540">
        <f>Q179</f>
        <v>44000</v>
      </c>
      <c r="J179" s="575">
        <v>11000</v>
      </c>
      <c r="K179" s="576"/>
      <c r="L179" s="575">
        <f t="shared" si="27"/>
        <v>11000</v>
      </c>
      <c r="M179" s="542">
        <v>11000</v>
      </c>
      <c r="N179" s="541">
        <v>11000</v>
      </c>
      <c r="O179" s="541">
        <v>11000</v>
      </c>
      <c r="P179" s="540"/>
      <c r="Q179" s="543">
        <f t="shared" si="21"/>
        <v>44000</v>
      </c>
    </row>
    <row r="180" spans="1:17" ht="24.75" customHeight="1">
      <c r="A180" s="515" t="s">
        <v>338</v>
      </c>
      <c r="B180" s="413" t="s">
        <v>257</v>
      </c>
      <c r="C180" s="419" t="s">
        <v>258</v>
      </c>
      <c r="D180" s="421">
        <v>2011</v>
      </c>
      <c r="E180" s="421">
        <v>2015</v>
      </c>
      <c r="F180" s="421">
        <v>801</v>
      </c>
      <c r="G180" s="421">
        <v>80104</v>
      </c>
      <c r="H180" s="421">
        <v>4260</v>
      </c>
      <c r="I180" s="414">
        <f>SUM(J180:N180)</f>
        <v>329000</v>
      </c>
      <c r="J180" s="331">
        <v>78000</v>
      </c>
      <c r="K180" s="331"/>
      <c r="L180" s="331">
        <f t="shared" si="27"/>
        <v>78000</v>
      </c>
      <c r="M180" s="414">
        <v>84000</v>
      </c>
      <c r="N180" s="414">
        <v>89000</v>
      </c>
      <c r="O180" s="414">
        <v>100000</v>
      </c>
      <c r="P180" s="414"/>
      <c r="Q180" s="475">
        <f t="shared" si="21"/>
        <v>351000</v>
      </c>
    </row>
    <row r="181" spans="1:17" ht="25.5" customHeight="1">
      <c r="A181" s="515" t="s">
        <v>339</v>
      </c>
      <c r="B181" s="257" t="s">
        <v>257</v>
      </c>
      <c r="C181" s="344" t="s">
        <v>258</v>
      </c>
      <c r="D181" s="422">
        <v>2011</v>
      </c>
      <c r="E181" s="422">
        <v>2015</v>
      </c>
      <c r="F181" s="422">
        <v>801</v>
      </c>
      <c r="G181" s="422">
        <v>80110</v>
      </c>
      <c r="H181" s="422">
        <v>4260</v>
      </c>
      <c r="I181" s="38">
        <f>SUM(J181:N181)</f>
        <v>690000</v>
      </c>
      <c r="J181" s="332">
        <v>160000</v>
      </c>
      <c r="K181" s="332"/>
      <c r="L181" s="332">
        <f t="shared" si="27"/>
        <v>160000</v>
      </c>
      <c r="M181" s="38">
        <v>180000</v>
      </c>
      <c r="N181" s="38">
        <v>190000</v>
      </c>
      <c r="O181" s="38">
        <v>190000</v>
      </c>
      <c r="P181" s="38"/>
      <c r="Q181" s="463">
        <f t="shared" si="21"/>
        <v>720000</v>
      </c>
    </row>
    <row r="182" spans="1:17" ht="23.25" customHeight="1">
      <c r="A182" s="515" t="s">
        <v>342</v>
      </c>
      <c r="B182" s="257" t="s">
        <v>340</v>
      </c>
      <c r="C182" s="344" t="s">
        <v>258</v>
      </c>
      <c r="D182" s="422">
        <v>2012</v>
      </c>
      <c r="E182" s="422">
        <v>2015</v>
      </c>
      <c r="F182" s="422">
        <v>926</v>
      </c>
      <c r="G182" s="422">
        <v>92605</v>
      </c>
      <c r="H182" s="422">
        <v>4300</v>
      </c>
      <c r="I182" s="38">
        <f>Q182</f>
        <v>47400</v>
      </c>
      <c r="J182" s="332">
        <v>2400</v>
      </c>
      <c r="K182" s="572"/>
      <c r="L182" s="332">
        <f t="shared" si="27"/>
        <v>2400</v>
      </c>
      <c r="M182" s="321">
        <v>15000</v>
      </c>
      <c r="N182" s="316">
        <v>15000</v>
      </c>
      <c r="O182" s="316">
        <v>15000</v>
      </c>
      <c r="P182" s="38"/>
      <c r="Q182" s="463">
        <f t="shared" si="21"/>
        <v>47400</v>
      </c>
    </row>
    <row r="183" spans="1:17" ht="15.75" customHeight="1">
      <c r="A183" s="515" t="s">
        <v>343</v>
      </c>
      <c r="B183" s="257" t="s">
        <v>337</v>
      </c>
      <c r="C183" s="344" t="s">
        <v>258</v>
      </c>
      <c r="D183" s="422">
        <v>2012</v>
      </c>
      <c r="E183" s="422">
        <v>2015</v>
      </c>
      <c r="F183" s="422">
        <v>801</v>
      </c>
      <c r="G183" s="422">
        <v>80114</v>
      </c>
      <c r="H183" s="422">
        <v>4360</v>
      </c>
      <c r="I183" s="38">
        <f>Q183</f>
        <v>21000</v>
      </c>
      <c r="J183" s="332">
        <v>3000</v>
      </c>
      <c r="K183" s="572"/>
      <c r="L183" s="332">
        <f t="shared" si="27"/>
        <v>3000</v>
      </c>
      <c r="M183" s="321">
        <v>6000</v>
      </c>
      <c r="N183" s="316">
        <v>6000</v>
      </c>
      <c r="O183" s="316">
        <v>6000</v>
      </c>
      <c r="P183" s="38"/>
      <c r="Q183" s="463">
        <f t="shared" si="21"/>
        <v>21000</v>
      </c>
    </row>
    <row r="184" spans="1:17" ht="16.5" customHeight="1">
      <c r="A184" s="515" t="s">
        <v>344</v>
      </c>
      <c r="B184" s="257" t="s">
        <v>257</v>
      </c>
      <c r="C184" s="344" t="s">
        <v>258</v>
      </c>
      <c r="D184" s="422">
        <v>2011</v>
      </c>
      <c r="E184" s="422">
        <v>2014</v>
      </c>
      <c r="F184" s="422">
        <v>801</v>
      </c>
      <c r="G184" s="422">
        <v>80148</v>
      </c>
      <c r="H184" s="422">
        <v>4260</v>
      </c>
      <c r="I184" s="38">
        <f>SUM(J184:N184)</f>
        <v>84000</v>
      </c>
      <c r="J184" s="332">
        <v>18000</v>
      </c>
      <c r="K184" s="332"/>
      <c r="L184" s="332">
        <f t="shared" si="27"/>
        <v>18000</v>
      </c>
      <c r="M184" s="38">
        <v>22000</v>
      </c>
      <c r="N184" s="38">
        <v>26000</v>
      </c>
      <c r="O184" s="38"/>
      <c r="P184" s="38"/>
      <c r="Q184" s="463">
        <f t="shared" si="21"/>
        <v>66000</v>
      </c>
    </row>
    <row r="185" spans="1:20" ht="45" customHeight="1">
      <c r="A185" s="515" t="s">
        <v>391</v>
      </c>
      <c r="B185" s="257" t="s">
        <v>447</v>
      </c>
      <c r="C185" s="344" t="s">
        <v>258</v>
      </c>
      <c r="D185" s="422">
        <v>2011</v>
      </c>
      <c r="E185" s="422">
        <v>2015</v>
      </c>
      <c r="F185" s="422">
        <v>801</v>
      </c>
      <c r="G185" s="422">
        <v>80113</v>
      </c>
      <c r="H185" s="422">
        <v>4300</v>
      </c>
      <c r="I185" s="38">
        <f>L185+M185+N185+O185</f>
        <v>891345</v>
      </c>
      <c r="J185" s="327">
        <v>116538</v>
      </c>
      <c r="K185" s="327"/>
      <c r="L185" s="332">
        <f t="shared" si="27"/>
        <v>116538</v>
      </c>
      <c r="M185" s="316">
        <v>174807</v>
      </c>
      <c r="N185" s="315">
        <v>300000</v>
      </c>
      <c r="O185" s="38">
        <v>300000</v>
      </c>
      <c r="P185" s="38"/>
      <c r="Q185" s="463">
        <f t="shared" si="21"/>
        <v>891345</v>
      </c>
      <c r="R185" s="525"/>
      <c r="S185" s="38"/>
      <c r="T185" s="131">
        <f>SUM(N185:R185)</f>
        <v>1491345</v>
      </c>
    </row>
    <row r="186" spans="1:20" ht="33.75" customHeight="1">
      <c r="A186" s="515" t="s">
        <v>426</v>
      </c>
      <c r="B186" s="257" t="s">
        <v>448</v>
      </c>
      <c r="C186" s="344" t="s">
        <v>258</v>
      </c>
      <c r="D186" s="422">
        <v>2011</v>
      </c>
      <c r="E186" s="422">
        <v>2015</v>
      </c>
      <c r="F186" s="422">
        <v>801</v>
      </c>
      <c r="G186" s="422">
        <v>80113</v>
      </c>
      <c r="H186" s="422">
        <v>4300</v>
      </c>
      <c r="I186" s="38">
        <v>978303</v>
      </c>
      <c r="J186" s="327">
        <v>325940</v>
      </c>
      <c r="K186" s="327"/>
      <c r="L186" s="332">
        <f t="shared" si="27"/>
        <v>325940</v>
      </c>
      <c r="M186" s="316">
        <v>488809</v>
      </c>
      <c r="N186" s="315">
        <v>600000</v>
      </c>
      <c r="O186" s="38">
        <v>600000</v>
      </c>
      <c r="P186" s="38"/>
      <c r="Q186" s="463">
        <f t="shared" si="21"/>
        <v>2014749</v>
      </c>
      <c r="R186" s="525"/>
      <c r="S186" s="38"/>
      <c r="T186" s="131">
        <f>SUM(N186:R186)</f>
        <v>3214749</v>
      </c>
    </row>
    <row r="187" spans="1:20" ht="18" customHeight="1">
      <c r="A187" s="515" t="s">
        <v>394</v>
      </c>
      <c r="B187" s="257" t="s">
        <v>329</v>
      </c>
      <c r="C187" s="344" t="s">
        <v>258</v>
      </c>
      <c r="D187" s="422">
        <v>2012</v>
      </c>
      <c r="E187" s="422">
        <v>2013</v>
      </c>
      <c r="F187" s="422">
        <v>801</v>
      </c>
      <c r="G187" s="422">
        <v>80101</v>
      </c>
      <c r="H187" s="422">
        <v>4430</v>
      </c>
      <c r="I187" s="38">
        <f aca="true" t="shared" si="28" ref="I187:I197">Q187</f>
        <v>44000</v>
      </c>
      <c r="J187" s="332">
        <v>22000</v>
      </c>
      <c r="K187" s="572"/>
      <c r="L187" s="332">
        <f aca="true" t="shared" si="29" ref="L187:L197">J187+K187</f>
        <v>22000</v>
      </c>
      <c r="M187" s="321">
        <v>22000</v>
      </c>
      <c r="N187" s="316"/>
      <c r="O187" s="316"/>
      <c r="P187" s="38"/>
      <c r="Q187" s="463">
        <f aca="true" t="shared" si="30" ref="Q187:Q197">SUM(L187:P187)</f>
        <v>44000</v>
      </c>
      <c r="R187" s="320"/>
      <c r="S187" s="320"/>
      <c r="T187" s="262"/>
    </row>
    <row r="188" spans="1:20" ht="19.5" customHeight="1">
      <c r="A188" s="515" t="s">
        <v>395</v>
      </c>
      <c r="B188" s="257" t="s">
        <v>330</v>
      </c>
      <c r="C188" s="344" t="s">
        <v>258</v>
      </c>
      <c r="D188" s="422">
        <v>2012</v>
      </c>
      <c r="E188" s="422">
        <v>2013</v>
      </c>
      <c r="F188" s="422">
        <v>801</v>
      </c>
      <c r="G188" s="422">
        <v>80104</v>
      </c>
      <c r="H188" s="422">
        <v>4430</v>
      </c>
      <c r="I188" s="38">
        <f t="shared" si="28"/>
        <v>2000</v>
      </c>
      <c r="J188" s="572">
        <v>1000</v>
      </c>
      <c r="K188" s="572"/>
      <c r="L188" s="332">
        <f t="shared" si="29"/>
        <v>1000</v>
      </c>
      <c r="M188" s="321">
        <v>1000</v>
      </c>
      <c r="N188" s="316"/>
      <c r="O188" s="316"/>
      <c r="P188" s="38"/>
      <c r="Q188" s="463">
        <f t="shared" si="30"/>
        <v>2000</v>
      </c>
      <c r="R188" s="320"/>
      <c r="S188" s="320"/>
      <c r="T188" s="262"/>
    </row>
    <row r="189" spans="1:20" ht="20.25" customHeight="1">
      <c r="A189" s="515" t="s">
        <v>396</v>
      </c>
      <c r="B189" s="257" t="s">
        <v>331</v>
      </c>
      <c r="C189" s="344" t="s">
        <v>258</v>
      </c>
      <c r="D189" s="422">
        <v>2012</v>
      </c>
      <c r="E189" s="422">
        <v>2013</v>
      </c>
      <c r="F189" s="422">
        <v>801</v>
      </c>
      <c r="G189" s="422">
        <v>80114</v>
      </c>
      <c r="H189" s="422">
        <v>4430</v>
      </c>
      <c r="I189" s="38">
        <f t="shared" si="28"/>
        <v>2800</v>
      </c>
      <c r="J189" s="572">
        <v>2000</v>
      </c>
      <c r="K189" s="572"/>
      <c r="L189" s="332">
        <f t="shared" si="29"/>
        <v>2000</v>
      </c>
      <c r="M189" s="321">
        <v>800</v>
      </c>
      <c r="N189" s="316"/>
      <c r="O189" s="316"/>
      <c r="P189" s="38"/>
      <c r="Q189" s="463">
        <f t="shared" si="30"/>
        <v>2800</v>
      </c>
      <c r="R189" s="320"/>
      <c r="S189" s="320"/>
      <c r="T189" s="262"/>
    </row>
    <row r="190" spans="1:20" ht="20.25" customHeight="1">
      <c r="A190" s="515" t="s">
        <v>397</v>
      </c>
      <c r="B190" s="517" t="s">
        <v>332</v>
      </c>
      <c r="C190" s="478" t="s">
        <v>341</v>
      </c>
      <c r="D190" s="518">
        <v>2012</v>
      </c>
      <c r="E190" s="518">
        <v>2013</v>
      </c>
      <c r="F190" s="518">
        <v>852</v>
      </c>
      <c r="G190" s="518">
        <v>85219</v>
      </c>
      <c r="H190" s="518">
        <v>4430</v>
      </c>
      <c r="I190" s="519">
        <f t="shared" si="28"/>
        <v>2600</v>
      </c>
      <c r="J190" s="577">
        <v>2000</v>
      </c>
      <c r="K190" s="577"/>
      <c r="L190" s="500">
        <f t="shared" si="29"/>
        <v>2000</v>
      </c>
      <c r="M190" s="532">
        <v>600</v>
      </c>
      <c r="N190" s="533"/>
      <c r="O190" s="533"/>
      <c r="P190" s="519"/>
      <c r="Q190" s="503">
        <f t="shared" si="30"/>
        <v>2600</v>
      </c>
      <c r="R190" s="320"/>
      <c r="S190" s="320"/>
      <c r="T190" s="262"/>
    </row>
    <row r="191" spans="1:20" ht="20.25" customHeight="1">
      <c r="A191" s="770" t="s">
        <v>398</v>
      </c>
      <c r="B191" s="773" t="s">
        <v>363</v>
      </c>
      <c r="C191" s="776" t="s">
        <v>341</v>
      </c>
      <c r="D191" s="766">
        <v>2012</v>
      </c>
      <c r="E191" s="766">
        <v>2013</v>
      </c>
      <c r="F191" s="766">
        <v>853</v>
      </c>
      <c r="G191" s="766">
        <v>85395</v>
      </c>
      <c r="H191" s="544" t="s">
        <v>164</v>
      </c>
      <c r="I191" s="545">
        <f>SUM(I192:I197)</f>
        <v>49870</v>
      </c>
      <c r="J191" s="578">
        <f>SUM(J192:J197)</f>
        <v>17194</v>
      </c>
      <c r="K191" s="578">
        <f>SUM(K192:K197)</f>
        <v>0</v>
      </c>
      <c r="L191" s="578">
        <f>SUM(L192:L197)</f>
        <v>17194</v>
      </c>
      <c r="M191" s="545">
        <f>SUM(M192:M197)</f>
        <v>32676</v>
      </c>
      <c r="N191" s="546"/>
      <c r="O191" s="546"/>
      <c r="P191" s="545"/>
      <c r="Q191" s="547">
        <f>SUM(Q192:Q197)</f>
        <v>49870</v>
      </c>
      <c r="R191" s="320"/>
      <c r="S191" s="320"/>
      <c r="T191" s="262"/>
    </row>
    <row r="192" spans="1:20" ht="20.25" customHeight="1">
      <c r="A192" s="771"/>
      <c r="B192" s="774"/>
      <c r="C192" s="767"/>
      <c r="D192" s="767"/>
      <c r="E192" s="767"/>
      <c r="F192" s="767"/>
      <c r="G192" s="767"/>
      <c r="H192" s="422">
        <v>4017</v>
      </c>
      <c r="I192" s="38">
        <f t="shared" si="28"/>
        <v>1497</v>
      </c>
      <c r="J192" s="572"/>
      <c r="K192" s="572">
        <v>798</v>
      </c>
      <c r="L192" s="332">
        <f t="shared" si="29"/>
        <v>798</v>
      </c>
      <c r="M192" s="321">
        <v>699</v>
      </c>
      <c r="N192" s="316"/>
      <c r="O192" s="316"/>
      <c r="P192" s="38"/>
      <c r="Q192" s="463">
        <f t="shared" si="30"/>
        <v>1497</v>
      </c>
      <c r="R192" s="320"/>
      <c r="S192" s="320"/>
      <c r="T192" s="262"/>
    </row>
    <row r="193" spans="1:20" ht="20.25" customHeight="1">
      <c r="A193" s="771"/>
      <c r="B193" s="774"/>
      <c r="C193" s="767"/>
      <c r="D193" s="767"/>
      <c r="E193" s="767"/>
      <c r="F193" s="767"/>
      <c r="G193" s="767"/>
      <c r="H193" s="422">
        <v>4117</v>
      </c>
      <c r="I193" s="38">
        <f>Q193</f>
        <v>2186</v>
      </c>
      <c r="J193" s="572">
        <v>1050</v>
      </c>
      <c r="K193" s="572">
        <v>-142</v>
      </c>
      <c r="L193" s="332">
        <f>J193+K193</f>
        <v>908</v>
      </c>
      <c r="M193" s="321">
        <v>1278</v>
      </c>
      <c r="N193" s="316"/>
      <c r="O193" s="316"/>
      <c r="P193" s="38"/>
      <c r="Q193" s="463">
        <f>SUM(L193:P193)</f>
        <v>2186</v>
      </c>
      <c r="R193" s="320"/>
      <c r="S193" s="320"/>
      <c r="T193" s="262"/>
    </row>
    <row r="194" spans="1:20" ht="20.25" customHeight="1">
      <c r="A194" s="771"/>
      <c r="B194" s="774"/>
      <c r="C194" s="767"/>
      <c r="D194" s="767"/>
      <c r="E194" s="767"/>
      <c r="F194" s="767"/>
      <c r="G194" s="767"/>
      <c r="H194" s="422">
        <v>4127</v>
      </c>
      <c r="I194" s="38">
        <f t="shared" si="28"/>
        <v>314</v>
      </c>
      <c r="J194" s="572">
        <v>150</v>
      </c>
      <c r="K194" s="572">
        <v>-19</v>
      </c>
      <c r="L194" s="332">
        <f t="shared" si="29"/>
        <v>131</v>
      </c>
      <c r="M194" s="321">
        <v>183</v>
      </c>
      <c r="N194" s="316"/>
      <c r="O194" s="316"/>
      <c r="P194" s="38"/>
      <c r="Q194" s="463">
        <f t="shared" si="30"/>
        <v>314</v>
      </c>
      <c r="R194" s="320"/>
      <c r="S194" s="320"/>
      <c r="T194" s="262"/>
    </row>
    <row r="195" spans="1:20" ht="20.25" customHeight="1">
      <c r="A195" s="771"/>
      <c r="B195" s="774"/>
      <c r="C195" s="767"/>
      <c r="D195" s="767"/>
      <c r="E195" s="767"/>
      <c r="F195" s="767"/>
      <c r="G195" s="767"/>
      <c r="H195" s="422">
        <v>4177</v>
      </c>
      <c r="I195" s="38">
        <f t="shared" si="28"/>
        <v>38373</v>
      </c>
      <c r="J195" s="572">
        <v>10100</v>
      </c>
      <c r="K195" s="572">
        <v>317</v>
      </c>
      <c r="L195" s="332">
        <f t="shared" si="29"/>
        <v>10417</v>
      </c>
      <c r="M195" s="321">
        <v>27956</v>
      </c>
      <c r="N195" s="316"/>
      <c r="O195" s="316"/>
      <c r="P195" s="38"/>
      <c r="Q195" s="463">
        <f t="shared" si="30"/>
        <v>38373</v>
      </c>
      <c r="R195" s="320"/>
      <c r="S195" s="320"/>
      <c r="T195" s="262"/>
    </row>
    <row r="196" spans="1:20" ht="20.25" customHeight="1">
      <c r="A196" s="771"/>
      <c r="B196" s="774"/>
      <c r="C196" s="767"/>
      <c r="D196" s="767"/>
      <c r="E196" s="767"/>
      <c r="F196" s="767"/>
      <c r="G196" s="767"/>
      <c r="H196" s="422">
        <v>4217</v>
      </c>
      <c r="I196" s="38">
        <f t="shared" si="28"/>
        <v>4540</v>
      </c>
      <c r="J196" s="572">
        <v>4000</v>
      </c>
      <c r="K196" s="572">
        <v>540</v>
      </c>
      <c r="L196" s="332">
        <f t="shared" si="29"/>
        <v>4540</v>
      </c>
      <c r="M196" s="321"/>
      <c r="N196" s="316"/>
      <c r="O196" s="316"/>
      <c r="P196" s="38"/>
      <c r="Q196" s="463">
        <f t="shared" si="30"/>
        <v>4540</v>
      </c>
      <c r="R196" s="320"/>
      <c r="S196" s="320"/>
      <c r="T196" s="262"/>
    </row>
    <row r="197" spans="1:20" ht="20.25" customHeight="1">
      <c r="A197" s="772"/>
      <c r="B197" s="775"/>
      <c r="C197" s="768"/>
      <c r="D197" s="768"/>
      <c r="E197" s="768"/>
      <c r="F197" s="768"/>
      <c r="G197" s="768"/>
      <c r="H197" s="518">
        <v>4307</v>
      </c>
      <c r="I197" s="38">
        <f t="shared" si="28"/>
        <v>2960</v>
      </c>
      <c r="J197" s="572">
        <v>1894</v>
      </c>
      <c r="K197" s="572">
        <v>-1494</v>
      </c>
      <c r="L197" s="332">
        <f t="shared" si="29"/>
        <v>400</v>
      </c>
      <c r="M197" s="321">
        <v>2560</v>
      </c>
      <c r="N197" s="316"/>
      <c r="O197" s="316"/>
      <c r="P197" s="38"/>
      <c r="Q197" s="463">
        <f t="shared" si="30"/>
        <v>2960</v>
      </c>
      <c r="R197" s="320"/>
      <c r="S197" s="320"/>
      <c r="T197" s="262"/>
    </row>
    <row r="198" spans="1:20" ht="20.25" customHeight="1">
      <c r="A198" s="729" t="s">
        <v>399</v>
      </c>
      <c r="B198" s="765" t="s">
        <v>387</v>
      </c>
      <c r="C198" s="737" t="s">
        <v>341</v>
      </c>
      <c r="D198" s="740">
        <v>2012</v>
      </c>
      <c r="E198" s="740">
        <v>2014</v>
      </c>
      <c r="F198" s="740">
        <v>853</v>
      </c>
      <c r="G198" s="740">
        <v>85395</v>
      </c>
      <c r="H198" s="582" t="s">
        <v>164</v>
      </c>
      <c r="I198" s="409">
        <f>SUM(I199:I211)</f>
        <v>428000</v>
      </c>
      <c r="J198" s="579">
        <f aca="true" t="shared" si="31" ref="J198:Q198">SUM(J199:J211)</f>
        <v>162000</v>
      </c>
      <c r="K198" s="579">
        <f t="shared" si="31"/>
        <v>0</v>
      </c>
      <c r="L198" s="579">
        <f t="shared" si="31"/>
        <v>162000</v>
      </c>
      <c r="M198" s="409">
        <f t="shared" si="31"/>
        <v>166000</v>
      </c>
      <c r="N198" s="409">
        <f t="shared" si="31"/>
        <v>100000</v>
      </c>
      <c r="O198" s="409"/>
      <c r="P198" s="409"/>
      <c r="Q198" s="548">
        <f t="shared" si="31"/>
        <v>428000</v>
      </c>
      <c r="R198" s="320">
        <f>L198+M198+N198</f>
        <v>428000</v>
      </c>
      <c r="S198" s="320"/>
      <c r="T198" s="262"/>
    </row>
    <row r="199" spans="1:20" ht="20.25" customHeight="1">
      <c r="A199" s="746"/>
      <c r="B199" s="733"/>
      <c r="C199" s="733"/>
      <c r="D199" s="733"/>
      <c r="E199" s="733"/>
      <c r="F199" s="733"/>
      <c r="G199" s="733"/>
      <c r="H199" s="422">
        <v>3119</v>
      </c>
      <c r="I199" s="38">
        <f aca="true" t="shared" si="32" ref="I199:I205">Q199</f>
        <v>44940</v>
      </c>
      <c r="J199" s="572">
        <v>17010</v>
      </c>
      <c r="K199" s="572"/>
      <c r="L199" s="332">
        <f aca="true" t="shared" si="33" ref="L199:L205">J199+K199</f>
        <v>17010</v>
      </c>
      <c r="M199" s="321">
        <v>17430</v>
      </c>
      <c r="N199" s="316">
        <v>10500</v>
      </c>
      <c r="O199" s="316"/>
      <c r="P199" s="38"/>
      <c r="Q199" s="463">
        <f aca="true" t="shared" si="34" ref="Q199:Q222">SUM(L199:P199)</f>
        <v>44940</v>
      </c>
      <c r="R199" s="320">
        <f>L200+L202+L204+L206+L208+L210</f>
        <v>137700</v>
      </c>
      <c r="S199" s="320">
        <f>M200+M202+M204+M206+M208+M210</f>
        <v>141100</v>
      </c>
      <c r="T199" s="320">
        <f>N200+N202+N204+N206+N208+N210</f>
        <v>85000</v>
      </c>
    </row>
    <row r="200" spans="1:20" ht="20.25" customHeight="1">
      <c r="A200" s="746"/>
      <c r="B200" s="733"/>
      <c r="C200" s="733"/>
      <c r="D200" s="733"/>
      <c r="E200" s="733"/>
      <c r="F200" s="733"/>
      <c r="G200" s="733"/>
      <c r="H200" s="422">
        <v>4017</v>
      </c>
      <c r="I200" s="38">
        <f>Q200</f>
        <v>135896</v>
      </c>
      <c r="J200" s="572">
        <v>45368</v>
      </c>
      <c r="K200" s="572"/>
      <c r="L200" s="332">
        <f>J200+K200</f>
        <v>45368</v>
      </c>
      <c r="M200" s="321">
        <v>57055</v>
      </c>
      <c r="N200" s="316">
        <v>33473</v>
      </c>
      <c r="O200" s="316"/>
      <c r="P200" s="38"/>
      <c r="Q200" s="463">
        <f t="shared" si="34"/>
        <v>135896</v>
      </c>
      <c r="R200" s="320">
        <f>L199+L201+L203+L205+L207+L209+L211</f>
        <v>24300</v>
      </c>
      <c r="S200" s="320">
        <f>M199+M201+M203+M205+M207+M209+M211</f>
        <v>24900</v>
      </c>
      <c r="T200" s="320">
        <f>N199+N201+N203+N205+N207+N209+N211</f>
        <v>15000</v>
      </c>
    </row>
    <row r="201" spans="1:20" ht="20.25" customHeight="1">
      <c r="A201" s="746"/>
      <c r="B201" s="733"/>
      <c r="C201" s="733"/>
      <c r="D201" s="733"/>
      <c r="E201" s="733"/>
      <c r="F201" s="733"/>
      <c r="G201" s="733"/>
      <c r="H201" s="422">
        <v>4019</v>
      </c>
      <c r="I201" s="38">
        <f>Q201</f>
        <v>7197</v>
      </c>
      <c r="J201" s="572">
        <v>2403</v>
      </c>
      <c r="K201" s="572"/>
      <c r="L201" s="332">
        <f>J201+K201</f>
        <v>2403</v>
      </c>
      <c r="M201" s="321">
        <v>3021</v>
      </c>
      <c r="N201" s="316">
        <v>1773</v>
      </c>
      <c r="O201" s="316"/>
      <c r="P201" s="38"/>
      <c r="Q201" s="463">
        <f t="shared" si="34"/>
        <v>7197</v>
      </c>
      <c r="R201" s="320"/>
      <c r="S201" s="320"/>
      <c r="T201" s="262"/>
    </row>
    <row r="202" spans="1:20" ht="20.25" customHeight="1">
      <c r="A202" s="746"/>
      <c r="B202" s="733"/>
      <c r="C202" s="733"/>
      <c r="D202" s="733"/>
      <c r="E202" s="733"/>
      <c r="F202" s="733"/>
      <c r="G202" s="733"/>
      <c r="H202" s="422">
        <v>4117</v>
      </c>
      <c r="I202" s="38">
        <f>Q202</f>
        <v>24623</v>
      </c>
      <c r="J202" s="572">
        <v>9144</v>
      </c>
      <c r="K202" s="572"/>
      <c r="L202" s="332">
        <f>J202+K202</f>
        <v>9144</v>
      </c>
      <c r="M202" s="321">
        <v>9755</v>
      </c>
      <c r="N202" s="316">
        <v>5724</v>
      </c>
      <c r="O202" s="316"/>
      <c r="P202" s="38"/>
      <c r="Q202" s="463">
        <f t="shared" si="34"/>
        <v>24623</v>
      </c>
      <c r="R202" s="320"/>
      <c r="S202" s="320"/>
      <c r="T202" s="262"/>
    </row>
    <row r="203" spans="1:20" ht="20.25" customHeight="1">
      <c r="A203" s="746"/>
      <c r="B203" s="733"/>
      <c r="C203" s="733"/>
      <c r="D203" s="733"/>
      <c r="E203" s="733"/>
      <c r="F203" s="733"/>
      <c r="G203" s="733"/>
      <c r="H203" s="422">
        <v>4119</v>
      </c>
      <c r="I203" s="38">
        <f t="shared" si="32"/>
        <v>1303</v>
      </c>
      <c r="J203" s="572">
        <v>484</v>
      </c>
      <c r="K203" s="572"/>
      <c r="L203" s="332">
        <f t="shared" si="33"/>
        <v>484</v>
      </c>
      <c r="M203" s="321">
        <v>516</v>
      </c>
      <c r="N203" s="316">
        <v>303</v>
      </c>
      <c r="O203" s="316"/>
      <c r="P203" s="38"/>
      <c r="Q203" s="463">
        <f t="shared" si="34"/>
        <v>1303</v>
      </c>
      <c r="R203" s="320"/>
      <c r="S203" s="320"/>
      <c r="T203" s="262"/>
    </row>
    <row r="204" spans="1:20" ht="20.25" customHeight="1">
      <c r="A204" s="746"/>
      <c r="B204" s="733"/>
      <c r="C204" s="733"/>
      <c r="D204" s="733"/>
      <c r="E204" s="733"/>
      <c r="F204" s="733"/>
      <c r="G204" s="733"/>
      <c r="H204" s="422">
        <v>4127</v>
      </c>
      <c r="I204" s="38">
        <f t="shared" si="32"/>
        <v>3528</v>
      </c>
      <c r="J204" s="572">
        <v>1310</v>
      </c>
      <c r="K204" s="572"/>
      <c r="L204" s="332">
        <f t="shared" si="33"/>
        <v>1310</v>
      </c>
      <c r="M204" s="321">
        <v>1397</v>
      </c>
      <c r="N204" s="316">
        <v>821</v>
      </c>
      <c r="O204" s="316"/>
      <c r="P204" s="38"/>
      <c r="Q204" s="463">
        <f t="shared" si="34"/>
        <v>3528</v>
      </c>
      <c r="R204" s="320"/>
      <c r="S204" s="320"/>
      <c r="T204" s="262"/>
    </row>
    <row r="205" spans="1:20" ht="20.25" customHeight="1">
      <c r="A205" s="746"/>
      <c r="B205" s="733"/>
      <c r="C205" s="733"/>
      <c r="D205" s="733"/>
      <c r="E205" s="733"/>
      <c r="F205" s="733"/>
      <c r="G205" s="733"/>
      <c r="H205" s="422">
        <v>4129</v>
      </c>
      <c r="I205" s="38">
        <f t="shared" si="32"/>
        <v>186</v>
      </c>
      <c r="J205" s="572">
        <v>69</v>
      </c>
      <c r="K205" s="572"/>
      <c r="L205" s="332">
        <f t="shared" si="33"/>
        <v>69</v>
      </c>
      <c r="M205" s="321">
        <v>74</v>
      </c>
      <c r="N205" s="316">
        <v>43</v>
      </c>
      <c r="O205" s="316"/>
      <c r="P205" s="38"/>
      <c r="Q205" s="463">
        <f t="shared" si="34"/>
        <v>186</v>
      </c>
      <c r="R205" s="320"/>
      <c r="S205" s="320"/>
      <c r="T205" s="262"/>
    </row>
    <row r="206" spans="1:20" ht="20.25" customHeight="1">
      <c r="A206" s="746"/>
      <c r="B206" s="733"/>
      <c r="C206" s="733"/>
      <c r="D206" s="733"/>
      <c r="E206" s="733"/>
      <c r="F206" s="733"/>
      <c r="G206" s="733"/>
      <c r="H206" s="422">
        <v>4177</v>
      </c>
      <c r="I206" s="38">
        <f aca="true" t="shared" si="35" ref="I206:I211">Q206</f>
        <v>17791</v>
      </c>
      <c r="J206" s="572">
        <v>8103</v>
      </c>
      <c r="K206" s="572"/>
      <c r="L206" s="332">
        <f aca="true" t="shared" si="36" ref="L206:L222">J206+K206</f>
        <v>8103</v>
      </c>
      <c r="M206" s="321">
        <v>8263</v>
      </c>
      <c r="N206" s="316">
        <v>1425</v>
      </c>
      <c r="O206" s="316"/>
      <c r="P206" s="38"/>
      <c r="Q206" s="463">
        <f t="shared" si="34"/>
        <v>17791</v>
      </c>
      <c r="R206" s="320"/>
      <c r="S206" s="320"/>
      <c r="T206" s="262"/>
    </row>
    <row r="207" spans="1:20" ht="20.25" customHeight="1">
      <c r="A207" s="746"/>
      <c r="B207" s="733"/>
      <c r="C207" s="733"/>
      <c r="D207" s="733"/>
      <c r="E207" s="733"/>
      <c r="F207" s="733"/>
      <c r="G207" s="733"/>
      <c r="H207" s="422">
        <v>4179</v>
      </c>
      <c r="I207" s="38">
        <f t="shared" si="35"/>
        <v>941</v>
      </c>
      <c r="J207" s="572">
        <v>429</v>
      </c>
      <c r="K207" s="572"/>
      <c r="L207" s="332">
        <f t="shared" si="36"/>
        <v>429</v>
      </c>
      <c r="M207" s="321">
        <v>437</v>
      </c>
      <c r="N207" s="316">
        <v>75</v>
      </c>
      <c r="O207" s="316"/>
      <c r="P207" s="38"/>
      <c r="Q207" s="463">
        <f t="shared" si="34"/>
        <v>941</v>
      </c>
      <c r="R207" s="320"/>
      <c r="S207" s="320"/>
      <c r="T207" s="262"/>
    </row>
    <row r="208" spans="1:20" ht="20.25" customHeight="1">
      <c r="A208" s="746"/>
      <c r="B208" s="733"/>
      <c r="C208" s="733"/>
      <c r="D208" s="733"/>
      <c r="E208" s="733"/>
      <c r="F208" s="733"/>
      <c r="G208" s="733"/>
      <c r="H208" s="422">
        <v>4217</v>
      </c>
      <c r="I208" s="38">
        <f t="shared" si="35"/>
        <v>4439</v>
      </c>
      <c r="J208" s="572">
        <v>2925</v>
      </c>
      <c r="K208" s="572"/>
      <c r="L208" s="332">
        <f t="shared" si="36"/>
        <v>2925</v>
      </c>
      <c r="M208" s="321">
        <v>1514</v>
      </c>
      <c r="N208" s="316"/>
      <c r="O208" s="316"/>
      <c r="P208" s="38"/>
      <c r="Q208" s="463">
        <f t="shared" si="34"/>
        <v>4439</v>
      </c>
      <c r="R208" s="320"/>
      <c r="S208" s="320"/>
      <c r="T208" s="262"/>
    </row>
    <row r="209" spans="1:20" ht="20.25" customHeight="1">
      <c r="A209" s="746"/>
      <c r="B209" s="733"/>
      <c r="C209" s="733"/>
      <c r="D209" s="733"/>
      <c r="E209" s="733"/>
      <c r="F209" s="733"/>
      <c r="G209" s="733"/>
      <c r="H209" s="422">
        <v>4219</v>
      </c>
      <c r="I209" s="38">
        <f t="shared" si="35"/>
        <v>235</v>
      </c>
      <c r="J209" s="572">
        <v>155</v>
      </c>
      <c r="K209" s="572"/>
      <c r="L209" s="332">
        <f t="shared" si="36"/>
        <v>155</v>
      </c>
      <c r="M209" s="321">
        <v>80</v>
      </c>
      <c r="N209" s="316"/>
      <c r="O209" s="316"/>
      <c r="P209" s="38"/>
      <c r="Q209" s="463">
        <f t="shared" si="34"/>
        <v>235</v>
      </c>
      <c r="R209" s="320"/>
      <c r="S209" s="320"/>
      <c r="T209" s="262"/>
    </row>
    <row r="210" spans="1:20" ht="20.25" customHeight="1">
      <c r="A210" s="746"/>
      <c r="B210" s="733"/>
      <c r="C210" s="733"/>
      <c r="D210" s="733"/>
      <c r="E210" s="733"/>
      <c r="F210" s="733"/>
      <c r="G210" s="733"/>
      <c r="H210" s="422">
        <v>4307</v>
      </c>
      <c r="I210" s="38">
        <f t="shared" si="35"/>
        <v>177523</v>
      </c>
      <c r="J210" s="572">
        <v>70850</v>
      </c>
      <c r="K210" s="572"/>
      <c r="L210" s="332">
        <f t="shared" si="36"/>
        <v>70850</v>
      </c>
      <c r="M210" s="321">
        <v>63116</v>
      </c>
      <c r="N210" s="316">
        <v>43557</v>
      </c>
      <c r="O210" s="316"/>
      <c r="P210" s="38"/>
      <c r="Q210" s="463">
        <f t="shared" si="34"/>
        <v>177523</v>
      </c>
      <c r="R210" s="320"/>
      <c r="S210" s="320"/>
      <c r="T210" s="262"/>
    </row>
    <row r="211" spans="1:20" ht="20.25" customHeight="1">
      <c r="A211" s="747"/>
      <c r="B211" s="732"/>
      <c r="C211" s="732"/>
      <c r="D211" s="732"/>
      <c r="E211" s="732"/>
      <c r="F211" s="732"/>
      <c r="G211" s="732"/>
      <c r="H211" s="422">
        <v>4309</v>
      </c>
      <c r="I211" s="38">
        <f t="shared" si="35"/>
        <v>9398</v>
      </c>
      <c r="J211" s="572">
        <v>3750</v>
      </c>
      <c r="K211" s="572"/>
      <c r="L211" s="332">
        <f t="shared" si="36"/>
        <v>3750</v>
      </c>
      <c r="M211" s="321">
        <v>3342</v>
      </c>
      <c r="N211" s="316">
        <v>2306</v>
      </c>
      <c r="O211" s="316"/>
      <c r="P211" s="38"/>
      <c r="Q211" s="463">
        <f t="shared" si="34"/>
        <v>9398</v>
      </c>
      <c r="R211" s="320"/>
      <c r="S211" s="320"/>
      <c r="T211" s="262"/>
    </row>
    <row r="212" spans="1:20" ht="20.25" customHeight="1">
      <c r="A212" s="729" t="s">
        <v>400</v>
      </c>
      <c r="B212" s="777" t="s">
        <v>393</v>
      </c>
      <c r="C212" s="779" t="s">
        <v>258</v>
      </c>
      <c r="D212" s="777">
        <v>2012</v>
      </c>
      <c r="E212" s="777">
        <v>2014</v>
      </c>
      <c r="F212" s="777">
        <v>854</v>
      </c>
      <c r="G212" s="777">
        <v>85401</v>
      </c>
      <c r="H212" s="159" t="s">
        <v>164</v>
      </c>
      <c r="I212" s="409">
        <f aca="true" t="shared" si="37" ref="I212:N212">SUM(I213:I215)</f>
        <v>198000</v>
      </c>
      <c r="J212" s="579">
        <f t="shared" si="37"/>
        <v>36000</v>
      </c>
      <c r="K212" s="579">
        <f t="shared" si="37"/>
        <v>0</v>
      </c>
      <c r="L212" s="579">
        <f t="shared" si="37"/>
        <v>36000</v>
      </c>
      <c r="M212" s="409">
        <f t="shared" si="37"/>
        <v>108000</v>
      </c>
      <c r="N212" s="409">
        <f t="shared" si="37"/>
        <v>54000</v>
      </c>
      <c r="O212" s="409"/>
      <c r="P212" s="409"/>
      <c r="Q212" s="548">
        <f>SUM(Q213:Q215)</f>
        <v>198000</v>
      </c>
      <c r="R212" s="320">
        <f>L212+M212+N212</f>
        <v>198000</v>
      </c>
      <c r="S212" s="320"/>
      <c r="T212" s="262"/>
    </row>
    <row r="213" spans="1:20" ht="20.25" customHeight="1">
      <c r="A213" s="729"/>
      <c r="B213" s="777"/>
      <c r="C213" s="779"/>
      <c r="D213" s="777"/>
      <c r="E213" s="777"/>
      <c r="F213" s="777"/>
      <c r="G213" s="777"/>
      <c r="H213" s="422">
        <v>4010</v>
      </c>
      <c r="I213" s="38">
        <f>L213+M213+N213</f>
        <v>165660</v>
      </c>
      <c r="J213" s="572">
        <v>30120</v>
      </c>
      <c r="K213" s="572"/>
      <c r="L213" s="332">
        <f>J213+K213</f>
        <v>30120</v>
      </c>
      <c r="M213" s="321">
        <v>90360</v>
      </c>
      <c r="N213" s="316">
        <v>45180</v>
      </c>
      <c r="O213" s="316"/>
      <c r="P213" s="38"/>
      <c r="Q213" s="463">
        <f>K213+M213+N213+L213</f>
        <v>165660</v>
      </c>
      <c r="R213" s="320"/>
      <c r="S213" s="320"/>
      <c r="T213" s="262"/>
    </row>
    <row r="214" spans="1:20" ht="20.25" customHeight="1">
      <c r="A214" s="729"/>
      <c r="B214" s="777"/>
      <c r="C214" s="779"/>
      <c r="D214" s="777"/>
      <c r="E214" s="777"/>
      <c r="F214" s="777"/>
      <c r="G214" s="777"/>
      <c r="H214" s="422">
        <v>4110</v>
      </c>
      <c r="I214" s="38">
        <f>L214+M214+N214</f>
        <v>28380</v>
      </c>
      <c r="J214" s="572">
        <v>5160</v>
      </c>
      <c r="K214" s="572"/>
      <c r="L214" s="332">
        <f>J214+K214</f>
        <v>5160</v>
      </c>
      <c r="M214" s="321">
        <v>15480</v>
      </c>
      <c r="N214" s="316">
        <v>7740</v>
      </c>
      <c r="O214" s="316"/>
      <c r="P214" s="38"/>
      <c r="Q214" s="463">
        <f>K214+M214+N214+L214</f>
        <v>28380</v>
      </c>
      <c r="R214" s="320"/>
      <c r="S214" s="320"/>
      <c r="T214" s="262"/>
    </row>
    <row r="215" spans="1:20" ht="20.25" customHeight="1">
      <c r="A215" s="730"/>
      <c r="B215" s="778"/>
      <c r="C215" s="780"/>
      <c r="D215" s="778"/>
      <c r="E215" s="778"/>
      <c r="F215" s="778"/>
      <c r="G215" s="778"/>
      <c r="H215" s="422">
        <v>4120</v>
      </c>
      <c r="I215" s="38">
        <f>L215+M215+N215</f>
        <v>3960</v>
      </c>
      <c r="J215" s="572">
        <v>720</v>
      </c>
      <c r="K215" s="572"/>
      <c r="L215" s="332">
        <f>J215+K215</f>
        <v>720</v>
      </c>
      <c r="M215" s="321">
        <v>2160</v>
      </c>
      <c r="N215" s="316">
        <v>1080</v>
      </c>
      <c r="O215" s="316"/>
      <c r="P215" s="38"/>
      <c r="Q215" s="463">
        <f>K215+M215+N215+L215</f>
        <v>3960</v>
      </c>
      <c r="R215" s="320"/>
      <c r="S215" s="320"/>
      <c r="T215" s="262"/>
    </row>
    <row r="216" spans="1:20" ht="20.25" customHeight="1">
      <c r="A216" s="515" t="s">
        <v>401</v>
      </c>
      <c r="B216" s="257" t="s">
        <v>337</v>
      </c>
      <c r="C216" s="344" t="s">
        <v>258</v>
      </c>
      <c r="D216" s="422">
        <v>2012</v>
      </c>
      <c r="E216" s="422">
        <v>2015</v>
      </c>
      <c r="F216" s="422">
        <v>854</v>
      </c>
      <c r="G216" s="422">
        <v>85401</v>
      </c>
      <c r="H216" s="422">
        <v>4360</v>
      </c>
      <c r="I216" s="38">
        <f>Q216</f>
        <v>6000</v>
      </c>
      <c r="J216" s="332">
        <v>1500</v>
      </c>
      <c r="K216" s="572"/>
      <c r="L216" s="332">
        <f>J216+K216</f>
        <v>1500</v>
      </c>
      <c r="M216" s="321">
        <v>1500</v>
      </c>
      <c r="N216" s="316">
        <v>1500</v>
      </c>
      <c r="O216" s="316">
        <v>1500</v>
      </c>
      <c r="P216" s="38"/>
      <c r="Q216" s="463">
        <f>SUM(L216:P216)</f>
        <v>6000</v>
      </c>
      <c r="R216" s="320"/>
      <c r="S216" s="320"/>
      <c r="T216" s="262"/>
    </row>
    <row r="217" spans="1:17" ht="20.25" customHeight="1">
      <c r="A217" s="515" t="s">
        <v>412</v>
      </c>
      <c r="B217" s="257" t="s">
        <v>446</v>
      </c>
      <c r="C217" s="344" t="s">
        <v>265</v>
      </c>
      <c r="D217" s="422">
        <v>2011</v>
      </c>
      <c r="E217" s="422">
        <v>2014</v>
      </c>
      <c r="F217" s="422">
        <v>900</v>
      </c>
      <c r="G217" s="422">
        <v>90002</v>
      </c>
      <c r="H217" s="422">
        <v>4300</v>
      </c>
      <c r="I217" s="38">
        <v>572000</v>
      </c>
      <c r="J217" s="332">
        <v>200000</v>
      </c>
      <c r="K217" s="332"/>
      <c r="L217" s="332">
        <f t="shared" si="36"/>
        <v>200000</v>
      </c>
      <c r="M217" s="38">
        <v>250000</v>
      </c>
      <c r="N217" s="38">
        <v>250000</v>
      </c>
      <c r="O217" s="38"/>
      <c r="P217" s="38"/>
      <c r="Q217" s="463">
        <f t="shared" si="34"/>
        <v>700000</v>
      </c>
    </row>
    <row r="218" spans="1:17" ht="20.25" customHeight="1">
      <c r="A218" s="515" t="s">
        <v>427</v>
      </c>
      <c r="B218" s="257" t="s">
        <v>424</v>
      </c>
      <c r="C218" s="344" t="s">
        <v>265</v>
      </c>
      <c r="D218" s="422">
        <v>2013</v>
      </c>
      <c r="E218" s="422">
        <v>2015</v>
      </c>
      <c r="F218" s="422">
        <v>900</v>
      </c>
      <c r="G218" s="422">
        <v>90002</v>
      </c>
      <c r="H218" s="422">
        <v>4300</v>
      </c>
      <c r="I218" s="38">
        <f>Q218</f>
        <v>11000000</v>
      </c>
      <c r="J218" s="332"/>
      <c r="K218" s="332"/>
      <c r="L218" s="332">
        <f>J218+K218</f>
        <v>0</v>
      </c>
      <c r="M218" s="38">
        <v>3000000</v>
      </c>
      <c r="N218" s="38">
        <v>4000000</v>
      </c>
      <c r="O218" s="38">
        <v>4000000</v>
      </c>
      <c r="P218" s="38"/>
      <c r="Q218" s="463">
        <f>SUM(L218:P218)</f>
        <v>11000000</v>
      </c>
    </row>
    <row r="219" spans="1:17" ht="20.25" customHeight="1">
      <c r="A219" s="515" t="s">
        <v>428</v>
      </c>
      <c r="B219" s="257" t="s">
        <v>250</v>
      </c>
      <c r="C219" s="344" t="s">
        <v>173</v>
      </c>
      <c r="D219" s="422">
        <v>2011</v>
      </c>
      <c r="E219" s="422">
        <v>2013</v>
      </c>
      <c r="F219" s="422">
        <v>900</v>
      </c>
      <c r="G219" s="422">
        <v>90003</v>
      </c>
      <c r="H219" s="422">
        <v>4300</v>
      </c>
      <c r="I219" s="38">
        <f>Q219+6000</f>
        <v>1006000</v>
      </c>
      <c r="J219" s="332">
        <v>500000</v>
      </c>
      <c r="K219" s="332"/>
      <c r="L219" s="332">
        <f t="shared" si="36"/>
        <v>500000</v>
      </c>
      <c r="M219" s="38">
        <v>500000</v>
      </c>
      <c r="N219" s="38"/>
      <c r="O219" s="38"/>
      <c r="P219" s="38"/>
      <c r="Q219" s="463">
        <f t="shared" si="34"/>
        <v>1000000</v>
      </c>
    </row>
    <row r="220" spans="1:17" ht="27" customHeight="1">
      <c r="A220" s="515" t="s">
        <v>429</v>
      </c>
      <c r="B220" s="257" t="s">
        <v>249</v>
      </c>
      <c r="C220" s="344" t="s">
        <v>173</v>
      </c>
      <c r="D220" s="422">
        <v>2011</v>
      </c>
      <c r="E220" s="422">
        <v>2012</v>
      </c>
      <c r="F220" s="422">
        <v>900</v>
      </c>
      <c r="G220" s="422">
        <v>90004</v>
      </c>
      <c r="H220" s="422">
        <v>4300</v>
      </c>
      <c r="I220" s="38">
        <f>Q220+20000</f>
        <v>220000</v>
      </c>
      <c r="J220" s="332">
        <v>200000</v>
      </c>
      <c r="K220" s="332"/>
      <c r="L220" s="332">
        <f t="shared" si="36"/>
        <v>200000</v>
      </c>
      <c r="M220" s="38"/>
      <c r="N220" s="38"/>
      <c r="O220" s="38"/>
      <c r="P220" s="38"/>
      <c r="Q220" s="463">
        <f t="shared" si="34"/>
        <v>200000</v>
      </c>
    </row>
    <row r="221" spans="1:17" ht="20.25" customHeight="1">
      <c r="A221" s="515" t="s">
        <v>430</v>
      </c>
      <c r="B221" s="257" t="s">
        <v>276</v>
      </c>
      <c r="C221" s="344" t="s">
        <v>173</v>
      </c>
      <c r="D221" s="422">
        <v>2011</v>
      </c>
      <c r="E221" s="422">
        <v>2014</v>
      </c>
      <c r="F221" s="422">
        <v>900</v>
      </c>
      <c r="G221" s="422">
        <v>90015</v>
      </c>
      <c r="H221" s="422">
        <v>4260</v>
      </c>
      <c r="I221" s="38">
        <f>SUM(J221:N221)</f>
        <v>4010000</v>
      </c>
      <c r="J221" s="332">
        <v>980000</v>
      </c>
      <c r="K221" s="332"/>
      <c r="L221" s="332">
        <f t="shared" si="36"/>
        <v>980000</v>
      </c>
      <c r="M221" s="38">
        <v>1000000</v>
      </c>
      <c r="N221" s="38">
        <v>1050000</v>
      </c>
      <c r="O221" s="38"/>
      <c r="P221" s="38"/>
      <c r="Q221" s="463">
        <f t="shared" si="34"/>
        <v>3030000</v>
      </c>
    </row>
    <row r="222" spans="1:17" ht="31.5" customHeight="1">
      <c r="A222" s="515" t="s">
        <v>432</v>
      </c>
      <c r="B222" s="517" t="s">
        <v>251</v>
      </c>
      <c r="C222" s="478" t="s">
        <v>173</v>
      </c>
      <c r="D222" s="518">
        <v>2011</v>
      </c>
      <c r="E222" s="518">
        <v>2014</v>
      </c>
      <c r="F222" s="518">
        <v>900</v>
      </c>
      <c r="G222" s="518">
        <v>90015</v>
      </c>
      <c r="H222" s="518">
        <v>4270</v>
      </c>
      <c r="I222" s="519">
        <f>Q222+4000</f>
        <v>794000</v>
      </c>
      <c r="J222" s="500">
        <v>250000</v>
      </c>
      <c r="K222" s="500"/>
      <c r="L222" s="500">
        <f t="shared" si="36"/>
        <v>250000</v>
      </c>
      <c r="M222" s="519">
        <v>270000</v>
      </c>
      <c r="N222" s="519">
        <v>270000</v>
      </c>
      <c r="O222" s="519"/>
      <c r="P222" s="519"/>
      <c r="Q222" s="503">
        <f t="shared" si="34"/>
        <v>790000</v>
      </c>
    </row>
    <row r="223" spans="1:17" ht="12.75">
      <c r="A223" s="67"/>
      <c r="B223" s="67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7"/>
    </row>
    <row r="224" spans="1:3" ht="15">
      <c r="A224" s="28"/>
      <c r="B224" s="34"/>
      <c r="C224" s="35"/>
    </row>
    <row r="225" spans="1:3" ht="15">
      <c r="A225" s="28"/>
      <c r="B225" s="36"/>
      <c r="C225" s="35"/>
    </row>
    <row r="226" spans="1:3" ht="15">
      <c r="A226" s="37"/>
      <c r="B226" s="36"/>
      <c r="C226" s="35"/>
    </row>
    <row r="227" spans="1:3" ht="12.75">
      <c r="A227" s="28"/>
      <c r="B227" s="28"/>
      <c r="C227" s="35"/>
    </row>
  </sheetData>
  <sheetProtection/>
  <mergeCells count="161">
    <mergeCell ref="A134:A136"/>
    <mergeCell ref="B134:B136"/>
    <mergeCell ref="C134:C136"/>
    <mergeCell ref="D134:D136"/>
    <mergeCell ref="E134:E136"/>
    <mergeCell ref="F134:H134"/>
    <mergeCell ref="F135:F136"/>
    <mergeCell ref="G135:G136"/>
    <mergeCell ref="G212:G215"/>
    <mergeCell ref="A212:A215"/>
    <mergeCell ref="B212:B215"/>
    <mergeCell ref="C212:C215"/>
    <mergeCell ref="D212:D215"/>
    <mergeCell ref="E212:E215"/>
    <mergeCell ref="F212:F215"/>
    <mergeCell ref="E198:E211"/>
    <mergeCell ref="F198:F211"/>
    <mergeCell ref="G198:G211"/>
    <mergeCell ref="A191:A197"/>
    <mergeCell ref="B191:B197"/>
    <mergeCell ref="C191:C197"/>
    <mergeCell ref="D191:D197"/>
    <mergeCell ref="E191:E197"/>
    <mergeCell ref="F191:F197"/>
    <mergeCell ref="A198:A211"/>
    <mergeCell ref="B198:B211"/>
    <mergeCell ref="C198:C211"/>
    <mergeCell ref="D198:D211"/>
    <mergeCell ref="G191:G197"/>
    <mergeCell ref="F11:F12"/>
    <mergeCell ref="Q9:Q12"/>
    <mergeCell ref="G110:G111"/>
    <mergeCell ref="F42:H42"/>
    <mergeCell ref="B26:B27"/>
    <mergeCell ref="F26:H26"/>
    <mergeCell ref="A109:A111"/>
    <mergeCell ref="B109:B111"/>
    <mergeCell ref="C109:C111"/>
    <mergeCell ref="D109:D111"/>
    <mergeCell ref="E109:E111"/>
    <mergeCell ref="F109:H109"/>
    <mergeCell ref="F110:F111"/>
    <mergeCell ref="F51:H51"/>
    <mergeCell ref="J37:P37"/>
    <mergeCell ref="H39:H40"/>
    <mergeCell ref="F20:H20"/>
    <mergeCell ref="B21:B22"/>
    <mergeCell ref="F21:H21"/>
    <mergeCell ref="G39:G40"/>
    <mergeCell ref="P38:P40"/>
    <mergeCell ref="F22:F23"/>
    <mergeCell ref="G22:G23"/>
    <mergeCell ref="J10:L11"/>
    <mergeCell ref="G11:G12"/>
    <mergeCell ref="H11:H12"/>
    <mergeCell ref="I9:I12"/>
    <mergeCell ref="B9:B12"/>
    <mergeCell ref="C9:C12"/>
    <mergeCell ref="D11:D12"/>
    <mergeCell ref="A7:Q8"/>
    <mergeCell ref="D9:E10"/>
    <mergeCell ref="F9:H10"/>
    <mergeCell ref="J9:P9"/>
    <mergeCell ref="M10:M12"/>
    <mergeCell ref="N10:N12"/>
    <mergeCell ref="O10:O12"/>
    <mergeCell ref="P10:P12"/>
    <mergeCell ref="A9:A12"/>
    <mergeCell ref="E11:E12"/>
    <mergeCell ref="A37:A40"/>
    <mergeCell ref="B37:B40"/>
    <mergeCell ref="C37:C40"/>
    <mergeCell ref="D37:E38"/>
    <mergeCell ref="F37:H38"/>
    <mergeCell ref="I37:I40"/>
    <mergeCell ref="D39:D40"/>
    <mergeCell ref="E39:E40"/>
    <mergeCell ref="F39:F40"/>
    <mergeCell ref="F149:F161"/>
    <mergeCell ref="G149:G161"/>
    <mergeCell ref="F112:H112"/>
    <mergeCell ref="A112:A115"/>
    <mergeCell ref="B112:B115"/>
    <mergeCell ref="Q37:Q40"/>
    <mergeCell ref="J38:L39"/>
    <mergeCell ref="M38:M40"/>
    <mergeCell ref="N38:N40"/>
    <mergeCell ref="O38:O40"/>
    <mergeCell ref="A149:A161"/>
    <mergeCell ref="F113:F115"/>
    <mergeCell ref="G113:G115"/>
    <mergeCell ref="C112:C115"/>
    <mergeCell ref="D112:D115"/>
    <mergeCell ref="E112:E115"/>
    <mergeCell ref="B149:B161"/>
    <mergeCell ref="C149:C161"/>
    <mergeCell ref="D149:D161"/>
    <mergeCell ref="E149:E161"/>
    <mergeCell ref="A65:A68"/>
    <mergeCell ref="B65:B68"/>
    <mergeCell ref="C65:C68"/>
    <mergeCell ref="D65:E66"/>
    <mergeCell ref="F65:H66"/>
    <mergeCell ref="I65:I68"/>
    <mergeCell ref="D67:D68"/>
    <mergeCell ref="E67:E68"/>
    <mergeCell ref="F67:F68"/>
    <mergeCell ref="G67:G68"/>
    <mergeCell ref="J65:P65"/>
    <mergeCell ref="Q65:Q68"/>
    <mergeCell ref="J66:L67"/>
    <mergeCell ref="M66:M68"/>
    <mergeCell ref="N66:N68"/>
    <mergeCell ref="O66:O68"/>
    <mergeCell ref="P66:P68"/>
    <mergeCell ref="H67:H68"/>
    <mergeCell ref="A96:A99"/>
    <mergeCell ref="B96:B99"/>
    <mergeCell ref="C96:C99"/>
    <mergeCell ref="D96:E97"/>
    <mergeCell ref="F96:H97"/>
    <mergeCell ref="D98:D99"/>
    <mergeCell ref="E98:E99"/>
    <mergeCell ref="F98:F99"/>
    <mergeCell ref="G98:G99"/>
    <mergeCell ref="I96:I99"/>
    <mergeCell ref="J96:P96"/>
    <mergeCell ref="Q96:Q99"/>
    <mergeCell ref="J97:L98"/>
    <mergeCell ref="M97:M99"/>
    <mergeCell ref="N97:N99"/>
    <mergeCell ref="O97:O99"/>
    <mergeCell ref="P97:P99"/>
    <mergeCell ref="H98:H99"/>
    <mergeCell ref="A127:A130"/>
    <mergeCell ref="B127:B130"/>
    <mergeCell ref="C127:C130"/>
    <mergeCell ref="D127:E128"/>
    <mergeCell ref="F127:H128"/>
    <mergeCell ref="D129:D130"/>
    <mergeCell ref="E129:E130"/>
    <mergeCell ref="F129:F130"/>
    <mergeCell ref="G129:G130"/>
    <mergeCell ref="H129:H130"/>
    <mergeCell ref="I127:I130"/>
    <mergeCell ref="J127:P127"/>
    <mergeCell ref="Q127:Q130"/>
    <mergeCell ref="J128:L129"/>
    <mergeCell ref="M128:M130"/>
    <mergeCell ref="N128:N130"/>
    <mergeCell ref="O128:O130"/>
    <mergeCell ref="P128:P130"/>
    <mergeCell ref="O22:O23"/>
    <mergeCell ref="P22:P23"/>
    <mergeCell ref="Q22:Q23"/>
    <mergeCell ref="H22:H23"/>
    <mergeCell ref="I22:I23"/>
    <mergeCell ref="J22:J23"/>
    <mergeCell ref="L22:L23"/>
    <mergeCell ref="M22:M23"/>
    <mergeCell ref="N22:N23"/>
  </mergeCells>
  <printOptions horizontalCentered="1"/>
  <pageMargins left="0.39375" right="0.19652777777777777" top="0.27569444444444446" bottom="0.44666666666666666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2012-11-26T13:18:44Z</cp:lastPrinted>
  <dcterms:created xsi:type="dcterms:W3CDTF">2011-02-22T14:35:52Z</dcterms:created>
  <dcterms:modified xsi:type="dcterms:W3CDTF">2012-11-26T13:50:57Z</dcterms:modified>
  <cp:category/>
  <cp:version/>
  <cp:contentType/>
  <cp:contentStatus/>
</cp:coreProperties>
</file>