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783" activeTab="1"/>
  </bookViews>
  <sheets>
    <sheet name="ZEST_DZIALOW (2)" sheetId="1" r:id="rId1"/>
    <sheet name="WYDATKI" sheetId="2" r:id="rId2"/>
    <sheet name="ZEST_rozdz " sheetId="3" r:id="rId3"/>
  </sheets>
  <definedNames>
    <definedName name="_xlnm.Print_Titles" localSheetId="1">'WYDATKI'!$9:$11</definedName>
    <definedName name="_xlnm.Print_Titles" localSheetId="2">'ZEST_rozdz '!$10:$14</definedName>
  </definedNames>
  <calcPr fullCalcOnLoad="1"/>
</workbook>
</file>

<file path=xl/sharedStrings.xml><?xml version="1.0" encoding="utf-8"?>
<sst xmlns="http://schemas.openxmlformats.org/spreadsheetml/2006/main" count="892" uniqueCount="304">
  <si>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</si>
  <si>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</si>
  <si>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</si>
  <si>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</si>
  <si>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</si>
  <si>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</si>
  <si>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</si>
  <si>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</si>
  <si>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</si>
  <si>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</si>
  <si>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</si>
  <si>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</si>
  <si>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</si>
  <si>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>BEZPIECZEŃSTWO PUBLICZNE I OCHRONA PRZECIWPOŻAROWA</t>
  </si>
  <si>
    <t xml:space="preserve">RÓŻNE ROZLICZENIA 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</si>
  <si>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</si>
  <si>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</si>
  <si>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</si>
  <si>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</si>
  <si>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</si>
  <si>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</si>
  <si>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>Gospodarka mieszkaniowa</t>
  </si>
  <si>
    <t xml:space="preserve">Działalność usługowa 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</si>
  <si>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</si>
  <si>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</si>
  <si>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</si>
  <si>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</si>
  <si>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</si>
  <si>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</si>
  <si>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</si>
  <si>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</si>
  <si>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</si>
  <si>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</si>
  <si>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</si>
  <si>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Składki na Fundusz Pracy </t>
  </si>
  <si>
    <t xml:space="preserve">Zakup materiałów i wyposażenia </t>
  </si>
  <si>
    <t>Zakup energii - gaz i woda</t>
  </si>
  <si>
    <t xml:space="preserve">Lokalny transport zbiorowy </t>
  </si>
  <si>
    <t xml:space="preserve">Plany zagospodarowania przestrzennego </t>
  </si>
  <si>
    <t xml:space="preserve">Zakup usług pozostałych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</si>
  <si>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</si>
  <si>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</si>
  <si>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</si>
  <si>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</si>
  <si>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Rady gmin </t>
  </si>
  <si>
    <t>Urzędy gmin</t>
  </si>
  <si>
    <t>Różne wydatki na rzecz osób fizycznych</t>
  </si>
  <si>
    <t>Zakup materiałów i wyposażenia</t>
  </si>
  <si>
    <t xml:space="preserve">Zakup usług pozostałych - szkolenia </t>
  </si>
  <si>
    <t>Podróże służbowe krajowe</t>
  </si>
  <si>
    <t xml:space="preserve">Wpłaty na PFRON </t>
  </si>
  <si>
    <t xml:space="preserve">Zakup usług zdrowotnych </t>
  </si>
  <si>
    <t xml:space="preserve">Ochotnicze straże pożarne </t>
  </si>
  <si>
    <t xml:space="preserve">Zakup energii </t>
  </si>
  <si>
    <t xml:space="preserve">Zakup usług remontowych </t>
  </si>
  <si>
    <t xml:space="preserve">Różne opłaty i składki - ubezpieczenia samochodów </t>
  </si>
  <si>
    <t xml:space="preserve">OBSŁUGA DŁUGU PUBLICZNEGO </t>
  </si>
  <si>
    <t xml:space="preserve">Gimnazja </t>
  </si>
  <si>
    <t xml:space="preserve">Dowożenie uczniów do szkół </t>
  </si>
  <si>
    <t xml:space="preserve">Dokształcanie i doskonalenie nauczycieli 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</si>
  <si>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</si>
  <si>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</si>
  <si>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</si>
  <si>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</si>
  <si>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</si>
  <si>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>Zakup usług remontowych</t>
  </si>
  <si>
    <t xml:space="preserve">OCHRONA ZDROWIA </t>
  </si>
  <si>
    <t xml:space="preserve">Przeciwdziałanie alkoholizmowi </t>
  </si>
  <si>
    <t xml:space="preserve">Podróże służbowe krajowe </t>
  </si>
  <si>
    <t>Dodatki mieszkaniowe</t>
  </si>
  <si>
    <t xml:space="preserve">Świadczenia społeczne </t>
  </si>
  <si>
    <t>Składki na ubezpieczenie społeczne</t>
  </si>
  <si>
    <t xml:space="preserve">Świetlice szkolne </t>
  </si>
  <si>
    <t xml:space="preserve">Zakupy materiałów i wyposażenia </t>
  </si>
  <si>
    <t xml:space="preserve">Pomoc materialna dla uczniów </t>
  </si>
  <si>
    <t>EDUKACYJNA OPIEKA WYCHOWAWCZA</t>
  </si>
  <si>
    <t xml:space="preserve">Oczyszczanie miast i wsi 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</si>
  <si>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</si>
  <si>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</si>
  <si>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</si>
  <si>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</si>
  <si>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</si>
  <si>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</si>
  <si>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</si>
  <si>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</si>
  <si>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</si>
  <si>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</si>
  <si>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t xml:space="preserve">Biblioteki </t>
  </si>
  <si>
    <t>RAZEM WYDATKI</t>
  </si>
  <si>
    <t xml:space="preserve">Zakup usług pozostałych - dowóz uczniów do szkół </t>
  </si>
  <si>
    <t>Zakup usług remontowych, remonty bieżące</t>
  </si>
  <si>
    <t>Dodatkowe wynagrodzenie roczne</t>
  </si>
  <si>
    <t>Zakup usług pozostałych</t>
  </si>
  <si>
    <t xml:space="preserve">POMOC SPOŁECZNA </t>
  </si>
  <si>
    <t>Klasyfikacja budżetowa</t>
  </si>
  <si>
    <t>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</si>
  <si>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</si>
  <si>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</si>
  <si>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</si>
  <si>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</si>
  <si>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>Dotacja podmiotowa z budżetu dla niepublicznej jednostki systemu oświaty</t>
  </si>
  <si>
    <t xml:space="preserve">Przedszkola  </t>
  </si>
  <si>
    <t>Składki na ubezpieczenie zdrowotne - budżet państwa</t>
  </si>
  <si>
    <t xml:space="preserve">Zakup usług pozostałych  </t>
  </si>
  <si>
    <t>Składki na ubezpieczenia społeczne</t>
  </si>
  <si>
    <t>Kary i odszkodowania wypłacane na rzecz osób fizycznych</t>
  </si>
  <si>
    <t xml:space="preserve">Różne opłaty i składki - opłata stała na rzecz Nadleśnictwa </t>
  </si>
  <si>
    <t>Dotacje celowe przekazane gminie na zadanie bieżące realizowane na podstawie porozumień (umów) między j.s.t.</t>
  </si>
  <si>
    <t>Wydatki osobowe nie zaliczone do wynagrodzeń</t>
  </si>
  <si>
    <t xml:space="preserve">Wpłaty jst. do budżetu państwa - na zwiększenie subwencji ogólnej </t>
  </si>
  <si>
    <t xml:space="preserve">Dodatkowe wynagrodzenie roczne </t>
  </si>
  <si>
    <t>Dotacja podmiotowe z budżetu dla instytucji kultury</t>
  </si>
  <si>
    <t xml:space="preserve">Wydatki osobowe nie zaliczone do wynagrodzeń </t>
  </si>
  <si>
    <t>Część równoważąca subwencji ogólnej dla gmin</t>
  </si>
  <si>
    <t>Wynagrodzenia bezosobowe</t>
  </si>
  <si>
    <t>Różne opłaty iskładki</t>
  </si>
  <si>
    <t xml:space="preserve">Wydatki osobowe niezaliczone do wynagrodzeń </t>
  </si>
  <si>
    <t xml:space="preserve">Wydatki na zakupy inwestycyjne jednostek budżetowych </t>
  </si>
  <si>
    <t xml:space="preserve">Różne opłaty i składki </t>
  </si>
  <si>
    <t xml:space="preserve">Zakup usług remontowych  </t>
  </si>
  <si>
    <t>Promocja jednostek samorządu terytorialnego</t>
  </si>
  <si>
    <t>Oddziały przedszkolne w szkołach podstawowych</t>
  </si>
  <si>
    <t>Wydatki osobowe nie zaliczone do wynagrodz.</t>
  </si>
  <si>
    <t xml:space="preserve">Zakup usług pozostałych, </t>
  </si>
  <si>
    <t>Stypendia  dla uczniów - za wyniki w nauce</t>
  </si>
  <si>
    <t>Zwalczanie narkomanii</t>
  </si>
  <si>
    <t>Rozdz.</t>
  </si>
  <si>
    <t>Plan po zmianach</t>
  </si>
  <si>
    <t>Wykonanie</t>
  </si>
  <si>
    <t>%</t>
  </si>
  <si>
    <t>Wójta Gminy Lesznowola</t>
  </si>
  <si>
    <t>Koszty postępowania sądowego i prokuratorskiego</t>
  </si>
  <si>
    <t>URZĘDY NACZELNYCH ORGANÓW WŁADZY PAŃSTWOWEJ, KONTROLI I OCHRONY PRAWA ORAZ SĄDOWNICTWA</t>
  </si>
  <si>
    <t>Zakup usług przez jst od innych jst</t>
  </si>
  <si>
    <t>Kolonie i obozy oraz inne formy wypoczynku dzieci i młodzieży szkolnej, a także szkolenia młodzieży</t>
  </si>
  <si>
    <t>Urzędy naczelnych organów władzy państwowej, kontroli i ochrony prawa oraz sądownictwa</t>
  </si>
  <si>
    <t xml:space="preserve">Wykonanie </t>
  </si>
  <si>
    <t xml:space="preserve">Dotacja podmiotowa z budżetu dla niepublicznej jednostki systemu oświaty </t>
  </si>
  <si>
    <t>01095</t>
  </si>
  <si>
    <t>Podróże służbowe zagraniczne</t>
  </si>
  <si>
    <t>Szkolenia pracowników niebędących członkami korpusu służby cywilnej</t>
  </si>
  <si>
    <t>Opłaty za administrowanie i czynsze za budynki, lokale i pomieszczenia garażowe</t>
  </si>
  <si>
    <t>Utrzymanie zieleni w miastach i gminach</t>
  </si>
  <si>
    <t>Komendy wojewódzkie Policji</t>
  </si>
  <si>
    <t>Stołówki szkolne</t>
  </si>
  <si>
    <t xml:space="preserve">Gospodarka ściekowa i ochrona środowiska </t>
  </si>
  <si>
    <t>Lecznictwo ambulatoryjne</t>
  </si>
  <si>
    <t xml:space="preserve">Pomoc społeczna </t>
  </si>
  <si>
    <t>Wydatki bieżące</t>
  </si>
  <si>
    <t>Plan</t>
  </si>
  <si>
    <t>Dotacje</t>
  </si>
  <si>
    <t>Wydatki na obsługę długu</t>
  </si>
  <si>
    <t>Wydatki majątkowe</t>
  </si>
  <si>
    <t>w tym:</t>
  </si>
  <si>
    <t xml:space="preserve">TURYSTYKA </t>
  </si>
  <si>
    <t>Zadania w zakresie upowszechniania turystyki</t>
  </si>
  <si>
    <t>Turystyka</t>
  </si>
  <si>
    <t>wydatki na świadczenia na rzecz osób fizycznych</t>
  </si>
  <si>
    <t>wydatki na realizację zadań z zakresu administracji rządowej</t>
  </si>
  <si>
    <t>Wydatki na realizację zadań otrzymanych do realizacji umów i porozumień między jst</t>
  </si>
  <si>
    <t>Wynagrodzenia i pochodne od nich naliczane</t>
  </si>
  <si>
    <t>Transport i łączność</t>
  </si>
  <si>
    <t xml:space="preserve">Urzędy naczelnych organów władzy państwowej, kontroli i ochrony prawa </t>
  </si>
  <si>
    <t>Wydatki ogółem</t>
  </si>
  <si>
    <t>Składki na ubezpieczenie zdrowotne opłacane za osoby pobierające niektóre świadczenia z pomocy społecznej, niektóre świadcz rodzinne oraz za osoby uczęszczające w zajęciach w centrum integracji społecznej</t>
  </si>
  <si>
    <t>Zasiłki i pomoc w naturze oraz składki na ubezpieczenie emerytalne i rentowe</t>
  </si>
  <si>
    <t xml:space="preserve">Zasiłki stałe </t>
  </si>
  <si>
    <t>Wpływy i wydatki związane z gromadzeniem środków z opłat i kar za korzystanie ze środowiska</t>
  </si>
  <si>
    <t>plan po zmianach</t>
  </si>
  <si>
    <t>Wyk</t>
  </si>
  <si>
    <t>Szkolenia pracow niebędących członkorpusu służby cywilnej</t>
  </si>
  <si>
    <t>Szkolenia pracow niebędących członk korpusu służby cywilnej</t>
  </si>
  <si>
    <t>Dział    rozdz</t>
  </si>
  <si>
    <t>Zarządzanie kryzysowe</t>
  </si>
  <si>
    <t>`01008</t>
  </si>
  <si>
    <t>Melioracje wodne</t>
  </si>
  <si>
    <t>Dotacja celowa z budżetu państwa na finansowanie  lub dofinansowanie zadań zleconych do realizacji pozostałym jednostkom niezaliczanym do sektora finansów publicznych</t>
  </si>
  <si>
    <t>Dotacje celowe z budżetu jst, udzielone w trybie art..221 ustawy, na finansowanie lub dofinansowanie zadań zleconych do realizacji organizacjom prowadzącym działalność pożytku publicznego</t>
  </si>
  <si>
    <t>Wynagrodzenia  agencyjno-prowizyjne</t>
  </si>
  <si>
    <t xml:space="preserve">Koszty emisji samorządowych papierów wartościowych oraz inne opłaty i prowizje </t>
  </si>
  <si>
    <t xml:space="preserve">Odsetki od samorządowych papierów wartościowych lub zaciagniętych przez j.s.t. pożyczek i kredytów </t>
  </si>
  <si>
    <t>Inne formy wychowania przedszkolnego</t>
  </si>
  <si>
    <t>Dotacja celowa z budżetu j.s.t. na finansowanie lub dofinansowanie zadań zleconych do realizacji organizacjom prowadzącym działalność pożytku publicznego</t>
  </si>
  <si>
    <t>Dotacje celowe z budżetu j.s.t., udzielone w trybie art.. 221 ustawy, na finansowanie lub dofinansowanie zadań zleconych do realizacji organizacjom prowadzącym działalność pożytku publicznego</t>
  </si>
  <si>
    <t>Kary i odszkodowania wypłacane na rzecz osób prawnych i innych jednostek organizacyjnych</t>
  </si>
  <si>
    <t>Dotacja celowa na pomoc finansową udzieloną między j.s.t. na dofinansowanie własnych zadań inwestycyjnych i zakupów inwestycyjnych</t>
  </si>
  <si>
    <t>Załącznik Nr 3a</t>
  </si>
  <si>
    <t>Załącznik Nr 3</t>
  </si>
  <si>
    <t>Rezerwy ogólne i celowe</t>
  </si>
  <si>
    <t>Obsługa papierów wartościowych, kredytów i pożyczek jst</t>
  </si>
  <si>
    <t>Wspieranie rodziny</t>
  </si>
  <si>
    <t xml:space="preserve">Kultura fizyczna </t>
  </si>
  <si>
    <t>- "Wydatki na realizację zadań realizowanych na mocy porozumień z organami administracji rządowej"</t>
  </si>
  <si>
    <t>Plan - 0</t>
  </si>
  <si>
    <t>Wydatki - 0</t>
  </si>
  <si>
    <t>- "Wydatki na zakup i objęcie akcji oraz wniesienie wkładów do spółek prawa handlowego"</t>
  </si>
  <si>
    <t>Drogi publiczne powiatowe</t>
  </si>
  <si>
    <t>Opłaty na rzecz budżetów jednostek samorządów terytorialnych  (odpady komunalne)</t>
  </si>
  <si>
    <t>Podatek od nieruchomości</t>
  </si>
  <si>
    <t>Pozostałe podatki na rzcz budżetów jst</t>
  </si>
  <si>
    <t>Opłaty na rzcz budżetów jst</t>
  </si>
  <si>
    <t>Opłaty na rzecz budżetów jednostek samorządu terytorialnego</t>
  </si>
  <si>
    <t>Podatek od towarów i usług (VAT)</t>
  </si>
  <si>
    <t>Wczesne wspomaganiw rozwoju dziecka</t>
  </si>
  <si>
    <t>Promocja jst</t>
  </si>
  <si>
    <t xml:space="preserve">Plan </t>
  </si>
  <si>
    <t>Wynagrodzenia i pochodne od nich naliczane dla projektów europejskich</t>
  </si>
  <si>
    <t>Opłaty z tytułu zakupu usług telekomunikacyjych</t>
  </si>
  <si>
    <t>Zakup materiałow i wyposażenia</t>
  </si>
  <si>
    <t>Opłaty z tytułu zakupu usług telekomunikacyjnych</t>
  </si>
  <si>
    <t>Wydatki inwestycyjne jednostek budżetowych</t>
  </si>
  <si>
    <t>Dotacja podmiotowa z budżetu dla publicznej jednostki systemu oświaty prowadzonej przez osobę prawną inną niż jednostka samorządu terytorialnego lub przez osobę fizyczną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</si>
  <si>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</si>
  <si>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</si>
  <si>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Zadania  z zakresu geodezji i kartografii</t>
  </si>
  <si>
    <t>Nagrody konkursowe</t>
  </si>
  <si>
    <t>Pozostała działalność - projekt unijny pn. "Stworzenie warunków dla sprawnego wdrażania instrumentu Zintegrowanych Inwestycji Terytorialnych dla Warszawskiego Obszaru Funkcjonalnego"</t>
  </si>
  <si>
    <t>Wpłaty jednostek na państwowy fundusz celowy</t>
  </si>
  <si>
    <t>Wydatki na zakupy inwestycyjne jednostek budżetowych</t>
  </si>
  <si>
    <t xml:space="preserve">Wydatki  inwestycyjne jednostek budżetowych </t>
  </si>
  <si>
    <t>Pozostała działalność - projekt unijny pn. "Regionalne partnerstwo samorządów Mazowsza dla aktywiazacji społeczeństwa informatycznego w zakresie e-administracji i geoinformacji"</t>
  </si>
  <si>
    <t>Zakup usług obejmujacych wykonanie ekspetyz, analiz i opinii</t>
  </si>
  <si>
    <t xml:space="preserve">Stypendia  dla uczniów </t>
  </si>
  <si>
    <t xml:space="preserve">Rezerwy </t>
  </si>
  <si>
    <t xml:space="preserve">Zakupy usług pozostałych </t>
  </si>
  <si>
    <t>Dotacje celowe otrzymane z samorządu województwa na inwestycje i zakupy inwestycyjne realizowane na podstawie porozumień (umów) między jednostkami samorządu terytorialnego</t>
  </si>
  <si>
    <t>Zakup usług zdrowotnych</t>
  </si>
  <si>
    <t xml:space="preserve">Zakup środków żywności </t>
  </si>
  <si>
    <t>Zakup środków żywności</t>
  </si>
  <si>
    <t>Wspólna obsługa jednostek samorządu terytorialnego</t>
  </si>
  <si>
    <t>Wydatki osobowe niezaliczone do wynagrodzeń</t>
  </si>
  <si>
    <t>Wynagrodzenia osobowe pracowników</t>
  </si>
  <si>
    <t>Szkolenia pracowników niebędących członkami korpusu służby cywilnej Niezależnie od rodzaju działalności szkoleniowej paragraf ten uwzględnia również wydatki stanowiące wypłatę wynagrodzenia z tytułu umów o dzieło lub umów zlecenia, których przedmiotem są szkolenia pracowników.</t>
  </si>
  <si>
    <t>Dotacje celowe przekazane gminie na zadania bieżące realizowane na podstawie porozumień (umów) między jednostkami samorządu terytorialnego</t>
  </si>
  <si>
    <t>Pomoc w zakresie dożywiania</t>
  </si>
  <si>
    <t>Pozostałe wynagrodzenia bezosobowe wynikające z odrębnych przepisów</t>
  </si>
  <si>
    <t xml:space="preserve"> Pomoc materialna dla uczniów o charakterze motywacyjnym</t>
  </si>
  <si>
    <t>Rodzina</t>
  </si>
  <si>
    <t>Świadczenie wychowawcze</t>
  </si>
  <si>
    <t>Świadczenia rodzinne, świadczenie z funduszu alimentacyjnego oraz składki na ubezpieczenia emerytalne i rentowe z ubezpieczenia społecznego</t>
  </si>
  <si>
    <t>Karta Dużej Rodziny</t>
  </si>
  <si>
    <t>Tworzenie i funkcjonowanie żłobków</t>
  </si>
  <si>
    <t>Dotacja celowa z budżetu na finansowanie lub dofinansowanie zadań zleconych do realizacji pozostałym jednostkom niezaliczanym do sektora finansów publicznych</t>
  </si>
  <si>
    <t>Tworzenie i funkcjonowanie klubów dziecięcych</t>
  </si>
  <si>
    <t>Rodziny zastępcze</t>
  </si>
  <si>
    <t>Wpływy z wpłat gmin i powiatów na rzecz innych jednostek samorządu terytorialnego oraz związków gmin, związków powiatowo-gminnych, związków powiatów, związków metropolitalnych na dofinansowanie zadań bieżących</t>
  </si>
  <si>
    <t>Działalność placówek opiekuńczo-wychowawczych</t>
  </si>
  <si>
    <t>Ochrona powietrza atmosferycznego i klimatu</t>
  </si>
  <si>
    <t>Zakup usług obejmujących wykonanie ekspertyz, analiz i opinii</t>
  </si>
  <si>
    <t>Działalność dotycząca miejsc pamięci narodowej oraz ochrony pamięci walk i męczeństwa</t>
  </si>
  <si>
    <t>Różne opłaty i składki</t>
  </si>
  <si>
    <t xml:space="preserve">Wynagrodzenia bezosobowe </t>
  </si>
  <si>
    <t>Zakup środków dydaktycznych i książek</t>
  </si>
  <si>
    <t xml:space="preserve">Pozostała działalność - Mieszkanie wspomagane Synapsis </t>
  </si>
  <si>
    <t xml:space="preserve">Pozostała działalność </t>
  </si>
  <si>
    <t xml:space="preserve">Rodzina </t>
  </si>
  <si>
    <r>
      <t xml:space="preserve">Zakup </t>
    </r>
    <r>
      <rPr>
        <sz val="8"/>
        <rFont val="Arial CE"/>
        <family val="0"/>
      </rPr>
      <t>środków żywności</t>
    </r>
  </si>
  <si>
    <t xml:space="preserve">Rezerwy ogólne i celowe </t>
  </si>
  <si>
    <t>Wpłaty na PEFRON</t>
  </si>
  <si>
    <t xml:space="preserve">Pomoc w zakresie dożywiania </t>
  </si>
  <si>
    <t>Szkoły podstawowe - projektunijny pn.  "Na styku kultur- podnoszenie umiejętności komunikacji w szkole wielokulturowej - szkoła Mroków"</t>
  </si>
  <si>
    <t>Szkoły podstawowe - projekt unijny pn. "Mobilność kady - podnoszenie kompetencji językowych i metodycznych nauczycieli -K1 - Szkoła Nowa Iwiczna "</t>
  </si>
  <si>
    <t xml:space="preserve">Szkoły podstawowe - projekt unijny pn. "Ponadnarodowa mobilność kadry edukacji szkolnej - podnoczenie kompetencji językowych i metodycznych nauczycieli - szkoła Mysiadło" </t>
  </si>
  <si>
    <t>Szkoły podstawowe - projekt unijny pn. "Partnerstwo strategiczne - współpraca szkół - szkoła Mysiadło - K2 "</t>
  </si>
  <si>
    <t>Szkoły podstawowe - projekt unijny pn. "Partnerstwo strategiczne - współpraca szkół - szkoła Lesznowola - K2 "</t>
  </si>
  <si>
    <t>Szkoły podstawowe - projekt unijny pm. "Partnerstwo strategiczne - współpraca szkół - szkoła Nowa Iwiczna  - K2 "</t>
  </si>
  <si>
    <t xml:space="preserve">Szkolenia pracowników niebędących członkami korpusu służby cywilnej </t>
  </si>
  <si>
    <t>Gospodarka odpadami " Obsługa administracyjna systemu gospodarowania odpadami komunalnymi"</t>
  </si>
  <si>
    <t>Urzędy naczelnych organów władzy państwowej, kontroli i ochrony prawa</t>
  </si>
  <si>
    <t>Drogi publiczne wojewódzkie</t>
  </si>
  <si>
    <t>Składki na Fundusz Pracy</t>
  </si>
  <si>
    <t>Wpłaty od jednostek na państwowy fundusz celowy na finansowanie lub dofinansowanie zadań inwestycyjnych</t>
  </si>
  <si>
    <t>Dotacje celowe otrzymane z gminy na zadania bieżące realizowane na podstawie porozumień (umów) między jednostkami samorządu terytorialnego</t>
  </si>
  <si>
    <t>Dotacja podmiotowa z budżetu otrzymana przez publiczną jednostkę systemu oświaty prowadzoną przez osobę prawną inną niż jednostka samorządu terytorialnego lub przez osobę fizyczną</t>
  </si>
  <si>
    <t>Odpisy na zakładowy fundusz świadczeń socjalnych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</si>
  <si>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</si>
  <si>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Zapewnienie uczniom prawa do bezpłatnego dostępu do podręczników, materiałów edukacyjnych lub materiałów ćwiczeniowych</t>
  </si>
  <si>
    <t>Składki na Fundusz Pracy oraz Solidarnościowy Fundusz Wsparcia Osób Niepełnosprawnych</t>
  </si>
  <si>
    <t>Usługi opiekuńcze i specjalistyczne usługi opiekuńcze</t>
  </si>
  <si>
    <t>Zwrot niewykorzystanych dotacji oraz płatności</t>
  </si>
  <si>
    <t>Świadczenia społeczne</t>
  </si>
  <si>
    <t>Ochrona różnorodności biologicznej i krajobrazu</t>
  </si>
  <si>
    <t>Rezerwaty i pomniki przyrody</t>
  </si>
  <si>
    <t xml:space="preserve">Projekt unijny Virtualny Warszawski Obszar Funkcjonalny ,,Virtual WOF" </t>
  </si>
  <si>
    <t xml:space="preserve">Pozostała działalność - Ja w internecie. Program szkoleniowy w zakresie rozwoju kompetencji cyfrowych. </t>
  </si>
  <si>
    <t xml:space="preserve">POZOSTAŁE ZADANIA W ZAKRESIE POLITYKI SPOŁECZNEJ </t>
  </si>
  <si>
    <t xml:space="preserve">Pozostałe zadania w zakresie polityki społecznej </t>
  </si>
  <si>
    <t xml:space="preserve">Ogrody botaniczne i zoologiczne oraz naturalne obszary i obiekty chronionej przyrody </t>
  </si>
  <si>
    <t>Szkoły podstawowe - projekt unijny pn.  "Granice mojego języka są granicami mojego świata - szkoła Mroków" - K1</t>
  </si>
  <si>
    <t>Szkoły podstawowe - projekt unijny pn.  "Szkoła Bliżej Nauki - szkoła Mroków"</t>
  </si>
  <si>
    <t>Szkoły podstawowe - projekt unijny pm. "Nasza Szkoła jest OK - szkoła Nowa Iwiczna"</t>
  </si>
  <si>
    <t>Szkoły podstawowe - projekt unijny pn. "Nauczyciele nowej generacji - szkoła Mysiadło"</t>
  </si>
  <si>
    <t>Gospodarka odpadami</t>
  </si>
  <si>
    <t>Gospodarka odpadami " Wywóz nieczystości"</t>
  </si>
  <si>
    <t>WYKONANIE    WYDATKÓW   BUDŻETU  GMINY  ZA  2018 ROK - W DZIAŁACH</t>
  </si>
  <si>
    <t>WYKONANIE WYDATKÓW  BUDŻETU GMINY  ZA 2018 ROK</t>
  </si>
  <si>
    <t>Nagrody o charakterze szczególnym niezaliczone do wynagrodzeń</t>
  </si>
  <si>
    <t>01008</t>
  </si>
  <si>
    <t>Zakup środków  dydaktycznych i książek</t>
  </si>
  <si>
    <t>Pozostałe działania w zakresie polityki społecznej</t>
  </si>
  <si>
    <t>do Zarządzenia Nr 37/2019</t>
  </si>
  <si>
    <t>z dnia 27 marca 2019r.</t>
  </si>
  <si>
    <t>ZESTAWIENIE  WYKONANIA  WYDATKÓW BIEŻĄCYCH   ZA 2018 ROK W DZIAŁACH</t>
  </si>
  <si>
    <t>do Zarządzenia Nr  37/2019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</si>
</sst>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  <numFmt numFmtId="173" formatCode="0.0000"/>
    <numFmt numFmtId="174" formatCode="[$-415]d\ mmmm\ yyyy"/>
    <numFmt numFmtId="175" formatCode="0.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0.000000000"/>
    <numFmt numFmtId="179" formatCode="0.00000000"/>
    <numFmt numFmtId="180" formatCode="0.0000000"/>
    <numFmt numFmtId="181" formatCode="0.000000"/>
    <numFmt numFmtId="182" formatCode="_-* #,##0.00000\ _z_ł_-;\-* #,##0.00000\ _z_ł_-;_-* &quot;-&quot;??\ _z_ł_-;_-@_-"/>
    <numFmt numFmtId="183" formatCode="_-* #,##0.0\ _z_ł_-;\-* #,##0.0\ _z_ł_-;_-* &quot;-&quot;??\ _z_ł_-;_-@_-"/>
    <numFmt numFmtId="184" formatCode="_-* #,##0\ _z_ł_-;\-* #,##0\ _z_ł_-;_-* &quot;-&quot;??\ _z_ł_-;_-@_-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0"/>
      <name val="Cambria"/>
      <family val="1"/>
    </font>
    <font>
      <b/>
      <u val="single"/>
      <sz val="9"/>
      <name val="Cambria"/>
      <family val="1"/>
    </font>
    <font>
      <sz val="8"/>
      <color indexed="10"/>
      <name val="Cambria"/>
      <family val="1"/>
    </font>
    <font>
      <sz val="10"/>
      <color indexed="10"/>
      <name val="Arial CE"/>
      <family val="0"/>
    </font>
    <font>
      <b/>
      <sz val="7"/>
      <name val="Cambria"/>
      <family val="1"/>
    </font>
    <font>
      <sz val="7"/>
      <name val="Arial CE"/>
      <family val="0"/>
    </font>
    <font>
      <sz val="7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4" fontId="9" fillId="34" borderId="1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>
      <alignment vertical="center" wrapText="1"/>
    </xf>
    <xf numFmtId="4" fontId="8" fillId="33" borderId="16" xfId="0" applyNumberFormat="1" applyFont="1" applyFill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9" xfId="0" applyFon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13" fillId="0" borderId="18" xfId="0" applyFont="1" applyBorder="1" applyAlignment="1">
      <alignment vertical="center"/>
    </xf>
    <xf numFmtId="0" fontId="8" fillId="0" borderId="20" xfId="0" applyFont="1" applyBorder="1" applyAlignment="1" quotePrefix="1">
      <alignment horizontal="center" vertical="center"/>
    </xf>
    <xf numFmtId="3" fontId="9" fillId="34" borderId="11" xfId="0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vertical="center"/>
    </xf>
    <xf numFmtId="4" fontId="8" fillId="33" borderId="15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4" fontId="8" fillId="33" borderId="17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16" xfId="0" applyFont="1" applyFill="1" applyBorder="1" applyAlignment="1" quotePrefix="1">
      <alignment horizontal="center" vertical="center"/>
    </xf>
    <xf numFmtId="0" fontId="8" fillId="33" borderId="15" xfId="0" applyFont="1" applyFill="1" applyBorder="1" applyAlignment="1">
      <alignment vertical="center" wrapText="1"/>
    </xf>
    <xf numFmtId="4" fontId="8" fillId="33" borderId="15" xfId="0" applyNumberFormat="1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left" vertical="center" wrapText="1"/>
    </xf>
    <xf numFmtId="3" fontId="10" fillId="35" borderId="14" xfId="0" applyNumberFormat="1" applyFont="1" applyFill="1" applyBorder="1" applyAlignment="1">
      <alignment vertical="center"/>
    </xf>
    <xf numFmtId="4" fontId="10" fillId="35" borderId="14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 quotePrefix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0" fontId="10" fillId="34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2" fontId="7" fillId="0" borderId="15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2" fontId="9" fillId="34" borderId="1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35" borderId="14" xfId="0" applyFont="1" applyFill="1" applyBorder="1" applyAlignment="1" quotePrefix="1">
      <alignment horizontal="center" vertical="center"/>
    </xf>
    <xf numFmtId="0" fontId="10" fillId="33" borderId="16" xfId="0" applyFont="1" applyFill="1" applyBorder="1" applyAlignment="1" quotePrefix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 quotePrefix="1">
      <alignment horizontal="center" vertical="center"/>
    </xf>
    <xf numFmtId="0" fontId="10" fillId="34" borderId="20" xfId="0" applyFont="1" applyFill="1" applyBorder="1" applyAlignment="1">
      <alignment horizontal="left" vertical="center" wrapText="1"/>
    </xf>
    <xf numFmtId="4" fontId="10" fillId="34" borderId="20" xfId="0" applyNumberFormat="1" applyFont="1" applyFill="1" applyBorder="1" applyAlignment="1">
      <alignment vertical="center"/>
    </xf>
    <xf numFmtId="2" fontId="8" fillId="33" borderId="15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 quotePrefix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vertical="center" wrapText="1"/>
    </xf>
    <xf numFmtId="0" fontId="10" fillId="34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2" fontId="10" fillId="34" borderId="2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8" fillId="33" borderId="10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vertical="center" wrapText="1"/>
    </xf>
    <xf numFmtId="2" fontId="14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10" fillId="35" borderId="14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10" fillId="34" borderId="20" xfId="0" applyNumberFormat="1" applyFont="1" applyFill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2" fontId="8" fillId="33" borderId="19" xfId="0" applyNumberFormat="1" applyFont="1" applyFill="1" applyBorder="1" applyAlignment="1">
      <alignment vertical="center" wrapText="1"/>
    </xf>
    <xf numFmtId="2" fontId="8" fillId="33" borderId="17" xfId="0" applyNumberFormat="1" applyFont="1" applyFill="1" applyBorder="1" applyAlignment="1">
      <alignment vertical="center" wrapText="1"/>
    </xf>
    <xf numFmtId="2" fontId="8" fillId="0" borderId="17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8" fillId="0" borderId="16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10" fillId="34" borderId="10" xfId="0" applyNumberFormat="1" applyFont="1" applyFill="1" applyBorder="1" applyAlignment="1">
      <alignment vertical="center"/>
    </xf>
    <xf numFmtId="2" fontId="8" fillId="0" borderId="19" xfId="0" applyNumberFormat="1" applyFont="1" applyBorder="1" applyAlignment="1">
      <alignment vertical="center" wrapText="1"/>
    </xf>
    <xf numFmtId="2" fontId="10" fillId="35" borderId="12" xfId="0" applyNumberFormat="1" applyFont="1" applyFill="1" applyBorder="1" applyAlignment="1">
      <alignment vertical="center"/>
    </xf>
    <xf numFmtId="2" fontId="8" fillId="33" borderId="15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2" fontId="6" fillId="33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vertical="center" wrapText="1"/>
    </xf>
    <xf numFmtId="2" fontId="10" fillId="0" borderId="16" xfId="0" applyNumberFormat="1" applyFont="1" applyFill="1" applyBorder="1" applyAlignment="1">
      <alignment vertical="center"/>
    </xf>
    <xf numFmtId="2" fontId="8" fillId="33" borderId="19" xfId="0" applyNumberFormat="1" applyFont="1" applyFill="1" applyBorder="1" applyAlignment="1">
      <alignment vertical="center"/>
    </xf>
    <xf numFmtId="2" fontId="8" fillId="33" borderId="17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33" borderId="16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8" fillId="0" borderId="15" xfId="0" applyNumberFormat="1" applyFont="1" applyBorder="1" applyAlignment="1">
      <alignment vertical="center"/>
    </xf>
    <xf numFmtId="4" fontId="8" fillId="33" borderId="19" xfId="0" applyNumberFormat="1" applyFont="1" applyFill="1" applyBorder="1" applyAlignment="1">
      <alignment vertical="center" wrapText="1"/>
    </xf>
    <xf numFmtId="4" fontId="8" fillId="33" borderId="17" xfId="0" applyNumberFormat="1" applyFont="1" applyFill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4" fontId="8" fillId="0" borderId="17" xfId="0" applyNumberFormat="1" applyFont="1" applyBorder="1" applyAlignment="1">
      <alignment vertical="center" wrapText="1"/>
    </xf>
    <xf numFmtId="4" fontId="8" fillId="33" borderId="16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10" fillId="34" borderId="14" xfId="0" applyNumberFormat="1" applyFont="1" applyFill="1" applyBorder="1" applyAlignment="1">
      <alignment vertical="center"/>
    </xf>
    <xf numFmtId="4" fontId="10" fillId="34" borderId="10" xfId="0" applyNumberFormat="1" applyFont="1" applyFill="1" applyBorder="1" applyAlignment="1">
      <alignment vertical="center"/>
    </xf>
    <xf numFmtId="4" fontId="8" fillId="33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10" fillId="35" borderId="12" xfId="0" applyNumberFormat="1" applyFont="1" applyFill="1" applyBorder="1" applyAlignment="1">
      <alignment vertical="center"/>
    </xf>
    <xf numFmtId="4" fontId="8" fillId="0" borderId="19" xfId="0" applyNumberFormat="1" applyFont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10" fillId="35" borderId="1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33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horizontal="center" vertical="center"/>
    </xf>
    <xf numFmtId="4" fontId="10" fillId="33" borderId="13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25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" fontId="8" fillId="33" borderId="12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3" fontId="10" fillId="34" borderId="20" xfId="0" applyNumberFormat="1" applyFont="1" applyFill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3" fontId="10" fillId="35" borderId="12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33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8" fillId="0" borderId="14" xfId="0" applyNumberFormat="1" applyFont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vertical="center" wrapText="1"/>
    </xf>
    <xf numFmtId="3" fontId="8" fillId="33" borderId="17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 wrapText="1"/>
    </xf>
    <xf numFmtId="3" fontId="8" fillId="0" borderId="14" xfId="0" applyNumberFormat="1" applyFont="1" applyBorder="1" applyAlignment="1">
      <alignment vertical="center"/>
    </xf>
    <xf numFmtId="4" fontId="8" fillId="33" borderId="14" xfId="0" applyNumberFormat="1" applyFont="1" applyFill="1" applyBorder="1" applyAlignment="1">
      <alignment vertical="center" wrapText="1"/>
    </xf>
    <xf numFmtId="2" fontId="8" fillId="33" borderId="14" xfId="0" applyNumberFormat="1" applyFont="1" applyFill="1" applyBorder="1" applyAlignment="1">
      <alignment vertical="center" wrapText="1"/>
    </xf>
    <xf numFmtId="3" fontId="8" fillId="33" borderId="14" xfId="0" applyNumberFormat="1" applyFont="1" applyFill="1" applyBorder="1" applyAlignment="1">
      <alignment vertical="center" wrapText="1"/>
    </xf>
    <xf numFmtId="2" fontId="8" fillId="33" borderId="14" xfId="0" applyNumberFormat="1" applyFont="1" applyFill="1" applyBorder="1" applyAlignment="1">
      <alignment vertical="center"/>
    </xf>
    <xf numFmtId="3" fontId="10" fillId="34" borderId="2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 vertical="center" wrapText="1"/>
    </xf>
    <xf numFmtId="3" fontId="10" fillId="35" borderId="19" xfId="0" applyNumberFormat="1" applyFont="1" applyFill="1" applyBorder="1" applyAlignment="1">
      <alignment vertical="center"/>
    </xf>
    <xf numFmtId="4" fontId="10" fillId="35" borderId="19" xfId="0" applyNumberFormat="1" applyFont="1" applyFill="1" applyBorder="1" applyAlignment="1">
      <alignment vertical="center"/>
    </xf>
    <xf numFmtId="0" fontId="10" fillId="37" borderId="26" xfId="0" applyFont="1" applyFill="1" applyBorder="1" applyAlignment="1">
      <alignment horizontal="left" vertical="center" wrapText="1"/>
    </xf>
    <xf numFmtId="0" fontId="10" fillId="37" borderId="20" xfId="0" applyFont="1" applyFill="1" applyBorder="1" applyAlignment="1">
      <alignment horizontal="center" vertical="center"/>
    </xf>
    <xf numFmtId="3" fontId="10" fillId="37" borderId="20" xfId="0" applyNumberFormat="1" applyFont="1" applyFill="1" applyBorder="1" applyAlignment="1">
      <alignment vertical="center"/>
    </xf>
    <xf numFmtId="4" fontId="10" fillId="37" borderId="20" xfId="0" applyNumberFormat="1" applyFont="1" applyFill="1" applyBorder="1" applyAlignment="1">
      <alignment vertical="center"/>
    </xf>
    <xf numFmtId="2" fontId="10" fillId="37" borderId="2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2" fontId="10" fillId="33" borderId="15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4" fontId="7" fillId="0" borderId="15" xfId="42" applyNumberFormat="1" applyFont="1" applyFill="1" applyBorder="1" applyAlignment="1">
      <alignment vertical="center"/>
    </xf>
    <xf numFmtId="4" fontId="7" fillId="0" borderId="15" xfId="42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4" fontId="8" fillId="0" borderId="27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0" fontId="10" fillId="33" borderId="19" xfId="0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vertical="center"/>
    </xf>
    <xf numFmtId="4" fontId="10" fillId="33" borderId="17" xfId="0" applyNumberFormat="1" applyFont="1" applyFill="1" applyBorder="1" applyAlignment="1">
      <alignment vertical="center"/>
    </xf>
    <xf numFmtId="2" fontId="10" fillId="33" borderId="29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2" fontId="8" fillId="33" borderId="28" xfId="0" applyNumberFormat="1" applyFont="1" applyFill="1" applyBorder="1" applyAlignment="1">
      <alignment vertical="center"/>
    </xf>
    <xf numFmtId="4" fontId="8" fillId="0" borderId="28" xfId="0" applyNumberFormat="1" applyFont="1" applyBorder="1" applyAlignment="1">
      <alignment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8" fillId="0" borderId="27" xfId="0" applyFont="1" applyBorder="1" applyAlignment="1" quotePrefix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8" fillId="0" borderId="28" xfId="0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2" fontId="8" fillId="0" borderId="28" xfId="0" applyNumberFormat="1" applyFont="1" applyBorder="1" applyAlignment="1">
      <alignment vertical="center" wrapText="1"/>
    </xf>
    <xf numFmtId="4" fontId="8" fillId="0" borderId="27" xfId="0" applyNumberFormat="1" applyFont="1" applyFill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 wrapText="1"/>
    </xf>
    <xf numFmtId="0" fontId="8" fillId="0" borderId="31" xfId="0" applyFont="1" applyBorder="1" applyAlignment="1" quotePrefix="1">
      <alignment horizontal="center" vertical="center"/>
    </xf>
    <xf numFmtId="0" fontId="8" fillId="0" borderId="27" xfId="0" applyFont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4" fontId="8" fillId="0" borderId="29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36" xfId="0" applyFont="1" applyBorder="1" applyAlignment="1" quotePrefix="1">
      <alignment horizontal="center" vertical="center"/>
    </xf>
    <xf numFmtId="0" fontId="7" fillId="0" borderId="37" xfId="0" applyFont="1" applyBorder="1" applyAlignment="1" quotePrefix="1">
      <alignment horizontal="center" vertical="center"/>
    </xf>
    <xf numFmtId="0" fontId="7" fillId="0" borderId="38" xfId="0" applyFont="1" applyBorder="1" applyAlignment="1" quotePrefix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8" fillId="0" borderId="39" xfId="0" applyNumberFormat="1" applyFont="1" applyBorder="1" applyAlignment="1">
      <alignment vertical="center" wrapText="1"/>
    </xf>
    <xf numFmtId="4" fontId="10" fillId="34" borderId="30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4" fontId="8" fillId="33" borderId="19" xfId="0" applyNumberFormat="1" applyFont="1" applyFill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4" fontId="10" fillId="35" borderId="29" xfId="0" applyNumberFormat="1" applyFont="1" applyFill="1" applyBorder="1" applyAlignment="1">
      <alignment vertical="center"/>
    </xf>
    <xf numFmtId="0" fontId="8" fillId="0" borderId="29" xfId="0" applyFont="1" applyBorder="1" applyAlignment="1" quotePrefix="1">
      <alignment horizontal="center" vertical="center"/>
    </xf>
    <xf numFmtId="4" fontId="10" fillId="35" borderId="16" xfId="0" applyNumberFormat="1" applyFont="1" applyFill="1" applyBorder="1" applyAlignment="1">
      <alignment vertical="center"/>
    </xf>
    <xf numFmtId="2" fontId="8" fillId="0" borderId="41" xfId="0" applyNumberFormat="1" applyFont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4" fontId="8" fillId="33" borderId="19" xfId="0" applyNumberFormat="1" applyFont="1" applyFill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 quotePrefix="1">
      <alignment horizontal="right" vertical="center"/>
    </xf>
    <xf numFmtId="3" fontId="8" fillId="0" borderId="15" xfId="0" applyNumberFormat="1" applyFont="1" applyBorder="1" applyAlignment="1" quotePrefix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4" fontId="10" fillId="34" borderId="20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 quotePrefix="1">
      <alignment horizontal="center" vertical="center"/>
    </xf>
    <xf numFmtId="3" fontId="8" fillId="33" borderId="27" xfId="0" applyNumberFormat="1" applyFont="1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2" fontId="8" fillId="0" borderId="29" xfId="0" applyNumberFormat="1" applyFont="1" applyBorder="1" applyAlignment="1">
      <alignment vertical="center" wrapText="1"/>
    </xf>
    <xf numFmtId="0" fontId="10" fillId="33" borderId="17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2" fontId="8" fillId="33" borderId="27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4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9" fillId="36" borderId="44" xfId="0" applyFont="1" applyFill="1" applyBorder="1" applyAlignment="1">
      <alignment horizontal="left" vertical="center" wrapText="1"/>
    </xf>
    <xf numFmtId="3" fontId="10" fillId="34" borderId="30" xfId="0" applyNumberFormat="1" applyFont="1" applyFill="1" applyBorder="1" applyAlignment="1">
      <alignment vertical="center"/>
    </xf>
    <xf numFmtId="3" fontId="10" fillId="35" borderId="11" xfId="0" applyNumberFormat="1" applyFont="1" applyFill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2" fontId="8" fillId="33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2" fontId="8" fillId="0" borderId="27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8" fillId="0" borderId="45" xfId="0" applyFont="1" applyBorder="1" applyAlignment="1" quotePrefix="1">
      <alignment horizontal="center" vertical="center"/>
    </xf>
    <xf numFmtId="0" fontId="8" fillId="0" borderId="45" xfId="0" applyFont="1" applyBorder="1" applyAlignment="1">
      <alignment vertical="center" wrapText="1"/>
    </xf>
    <xf numFmtId="4" fontId="8" fillId="33" borderId="20" xfId="0" applyNumberFormat="1" applyFont="1" applyFill="1" applyBorder="1" applyAlignment="1">
      <alignment vertical="center" wrapText="1"/>
    </xf>
    <xf numFmtId="2" fontId="8" fillId="0" borderId="20" xfId="0" applyNumberFormat="1" applyFont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 wrapText="1"/>
    </xf>
    <xf numFmtId="2" fontId="8" fillId="33" borderId="20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 wrapText="1"/>
    </xf>
    <xf numFmtId="2" fontId="8" fillId="33" borderId="2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 quotePrefix="1">
      <alignment horizontal="center" vertical="center"/>
    </xf>
    <xf numFmtId="2" fontId="10" fillId="34" borderId="26" xfId="0" applyNumberFormat="1" applyFont="1" applyFill="1" applyBorder="1" applyAlignment="1">
      <alignment vertical="center"/>
    </xf>
    <xf numFmtId="0" fontId="18" fillId="0" borderId="16" xfId="0" applyFont="1" applyBorder="1" applyAlignment="1" quotePrefix="1">
      <alignment horizontal="center" vertical="center"/>
    </xf>
    <xf numFmtId="0" fontId="18" fillId="33" borderId="16" xfId="0" applyFont="1" applyFill="1" applyBorder="1" applyAlignment="1" quotePrefix="1">
      <alignment horizontal="center" vertical="center"/>
    </xf>
    <xf numFmtId="0" fontId="18" fillId="33" borderId="19" xfId="0" applyFont="1" applyFill="1" applyBorder="1" applyAlignment="1" quotePrefix="1">
      <alignment horizontal="center" vertical="center"/>
    </xf>
    <xf numFmtId="3" fontId="8" fillId="0" borderId="2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8" fillId="0" borderId="46" xfId="0" applyFont="1" applyBorder="1" applyAlignment="1">
      <alignment vertical="center" wrapText="1"/>
    </xf>
    <xf numFmtId="2" fontId="8" fillId="33" borderId="47" xfId="0" applyNumberFormat="1" applyFont="1" applyFill="1" applyBorder="1" applyAlignment="1">
      <alignment vertical="center"/>
    </xf>
    <xf numFmtId="0" fontId="8" fillId="33" borderId="28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9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" fontId="0" fillId="0" borderId="48" xfId="0" applyNumberFormat="1" applyBorder="1" applyAlignment="1">
      <alignment vertical="center"/>
    </xf>
    <xf numFmtId="0" fontId="19" fillId="0" borderId="0" xfId="0" applyFont="1" applyAlignment="1">
      <alignment vertical="center"/>
    </xf>
    <xf numFmtId="2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2" fontId="8" fillId="0" borderId="46" xfId="0" applyNumberFormat="1" applyFont="1" applyBorder="1" applyAlignment="1">
      <alignment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40" xfId="0" applyFont="1" applyBorder="1" applyAlignment="1" quotePrefix="1">
      <alignment horizontal="center" vertical="center"/>
    </xf>
    <xf numFmtId="3" fontId="8" fillId="0" borderId="40" xfId="0" applyNumberFormat="1" applyFont="1" applyBorder="1" applyAlignment="1">
      <alignment vertical="center"/>
    </xf>
    <xf numFmtId="4" fontId="8" fillId="0" borderId="40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8" fillId="0" borderId="50" xfId="0" applyFont="1" applyBorder="1" applyAlignment="1" quotePrefix="1">
      <alignment horizontal="center" vertical="center"/>
    </xf>
    <xf numFmtId="3" fontId="8" fillId="0" borderId="50" xfId="0" applyNumberFormat="1" applyFont="1" applyBorder="1" applyAlignment="1">
      <alignment vertical="center"/>
    </xf>
    <xf numFmtId="4" fontId="8" fillId="0" borderId="50" xfId="0" applyNumberFormat="1" applyFont="1" applyBorder="1" applyAlignment="1">
      <alignment vertical="center" wrapText="1"/>
    </xf>
    <xf numFmtId="3" fontId="8" fillId="0" borderId="50" xfId="0" applyNumberFormat="1" applyFont="1" applyBorder="1" applyAlignment="1">
      <alignment vertical="center" wrapText="1"/>
    </xf>
    <xf numFmtId="4" fontId="8" fillId="0" borderId="51" xfId="0" applyNumberFormat="1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/>
    </xf>
    <xf numFmtId="0" fontId="8" fillId="0" borderId="41" xfId="0" applyFont="1" applyBorder="1" applyAlignment="1" quotePrefix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left" vertical="center" wrapText="1"/>
    </xf>
    <xf numFmtId="2" fontId="10" fillId="35" borderId="16" xfId="0" applyNumberFormat="1" applyFont="1" applyFill="1" applyBorder="1" applyAlignment="1">
      <alignment vertical="center"/>
    </xf>
    <xf numFmtId="3" fontId="10" fillId="35" borderId="16" xfId="0" applyNumberFormat="1" applyFont="1" applyFill="1" applyBorder="1" applyAlignment="1">
      <alignment vertical="center"/>
    </xf>
    <xf numFmtId="3" fontId="8" fillId="0" borderId="41" xfId="0" applyNumberFormat="1" applyFont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left" vertical="center" wrapText="1"/>
    </xf>
    <xf numFmtId="3" fontId="10" fillId="37" borderId="10" xfId="0" applyNumberFormat="1" applyFont="1" applyFill="1" applyBorder="1" applyAlignment="1">
      <alignment vertical="center"/>
    </xf>
    <xf numFmtId="4" fontId="10" fillId="37" borderId="10" xfId="0" applyNumberFormat="1" applyFont="1" applyFill="1" applyBorder="1" applyAlignment="1">
      <alignment vertical="center"/>
    </xf>
    <xf numFmtId="2" fontId="10" fillId="37" borderId="10" xfId="0" applyNumberFormat="1" applyFont="1" applyFill="1" applyBorder="1" applyAlignment="1">
      <alignment vertical="center"/>
    </xf>
    <xf numFmtId="2" fontId="10" fillId="35" borderId="29" xfId="0" applyNumberFormat="1" applyFont="1" applyFill="1" applyBorder="1" applyAlignment="1">
      <alignment vertical="center"/>
    </xf>
    <xf numFmtId="2" fontId="10" fillId="35" borderId="19" xfId="0" applyNumberFormat="1" applyFont="1" applyFill="1" applyBorder="1" applyAlignment="1">
      <alignment vertical="center"/>
    </xf>
    <xf numFmtId="4" fontId="0" fillId="0" borderId="45" xfId="0" applyNumberFormat="1" applyBorder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3" fontId="8" fillId="33" borderId="42" xfId="0" applyNumberFormat="1" applyFont="1" applyFill="1" applyBorder="1" applyAlignment="1">
      <alignment horizontal="left" vertical="center"/>
    </xf>
    <xf numFmtId="4" fontId="8" fillId="33" borderId="42" xfId="0" applyNumberFormat="1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3" fontId="8" fillId="33" borderId="55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vertical="center"/>
    </xf>
    <xf numFmtId="0" fontId="17" fillId="33" borderId="0" xfId="0" applyFont="1" applyFill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4" fontId="9" fillId="33" borderId="18" xfId="0" applyNumberFormat="1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3" fontId="0" fillId="38" borderId="0" xfId="0" applyNumberFormat="1" applyFill="1" applyAlignment="1">
      <alignment vertical="center"/>
    </xf>
    <xf numFmtId="4" fontId="0" fillId="38" borderId="0" xfId="0" applyNumberFormat="1" applyFill="1" applyAlignment="1">
      <alignment vertical="center"/>
    </xf>
    <xf numFmtId="0" fontId="0" fillId="38" borderId="0" xfId="0" applyFill="1" applyAlignment="1">
      <alignment horizontal="right" vertical="center"/>
    </xf>
    <xf numFmtId="3" fontId="11" fillId="38" borderId="0" xfId="0" applyNumberFormat="1" applyFont="1" applyFill="1" applyAlignment="1">
      <alignment vertical="center"/>
    </xf>
    <xf numFmtId="4" fontId="11" fillId="38" borderId="0" xfId="0" applyNumberFormat="1" applyFont="1" applyFill="1" applyAlignment="1">
      <alignment vertical="center"/>
    </xf>
    <xf numFmtId="0" fontId="11" fillId="38" borderId="0" xfId="0" applyFont="1" applyFill="1" applyAlignment="1">
      <alignment horizontal="right" vertical="center"/>
    </xf>
    <xf numFmtId="3" fontId="8" fillId="38" borderId="12" xfId="0" applyNumberFormat="1" applyFont="1" applyFill="1" applyBorder="1" applyAlignment="1">
      <alignment horizontal="center" vertical="center"/>
    </xf>
    <xf numFmtId="4" fontId="8" fillId="38" borderId="12" xfId="0" applyNumberFormat="1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4" fontId="0" fillId="38" borderId="0" xfId="0" applyNumberFormat="1" applyFill="1" applyAlignment="1">
      <alignment horizontal="right" vertical="center"/>
    </xf>
    <xf numFmtId="0" fontId="0" fillId="38" borderId="0" xfId="0" applyFill="1" applyAlignment="1">
      <alignment vertical="center"/>
    </xf>
    <xf numFmtId="4" fontId="11" fillId="38" borderId="0" xfId="0" applyNumberFormat="1" applyFont="1" applyFill="1" applyAlignment="1">
      <alignment horizontal="right" vertical="center"/>
    </xf>
    <xf numFmtId="0" fontId="11" fillId="38" borderId="0" xfId="0" applyFont="1" applyFill="1" applyAlignment="1">
      <alignment vertical="center"/>
    </xf>
    <xf numFmtId="0" fontId="8" fillId="34" borderId="14" xfId="0" applyFont="1" applyFill="1" applyBorder="1" applyAlignment="1" quotePrefix="1">
      <alignment horizontal="center" vertical="center"/>
    </xf>
    <xf numFmtId="0" fontId="10" fillId="34" borderId="14" xfId="0" applyFont="1" applyFill="1" applyBorder="1" applyAlignment="1" quotePrefix="1">
      <alignment horizontal="center" vertical="center"/>
    </xf>
    <xf numFmtId="0" fontId="3" fillId="0" borderId="56" xfId="0" applyFont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horizontal="right" vertical="center" wrapText="1"/>
    </xf>
    <xf numFmtId="2" fontId="8" fillId="0" borderId="14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2" fontId="8" fillId="33" borderId="57" xfId="0" applyNumberFormat="1" applyFont="1" applyFill="1" applyBorder="1" applyAlignment="1">
      <alignment vertical="center"/>
    </xf>
    <xf numFmtId="0" fontId="8" fillId="0" borderId="32" xfId="0" applyFont="1" applyBorder="1" applyAlignment="1" quotePrefix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2" fontId="8" fillId="33" borderId="46" xfId="0" applyNumberFormat="1" applyFont="1" applyFill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10" fillId="34" borderId="3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 wrapText="1"/>
    </xf>
    <xf numFmtId="3" fontId="8" fillId="0" borderId="45" xfId="0" applyNumberFormat="1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4" fontId="8" fillId="0" borderId="41" xfId="0" applyNumberFormat="1" applyFont="1" applyBorder="1" applyAlignment="1">
      <alignment vertical="center" wrapText="1"/>
    </xf>
    <xf numFmtId="2" fontId="8" fillId="0" borderId="45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4" fontId="8" fillId="0" borderId="17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2" fontId="8" fillId="0" borderId="53" xfId="0" applyNumberFormat="1" applyFont="1" applyBorder="1" applyAlignment="1">
      <alignment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3" fontId="8" fillId="33" borderId="20" xfId="0" applyNumberFormat="1" applyFont="1" applyFill="1" applyBorder="1" applyAlignment="1">
      <alignment vertical="center"/>
    </xf>
    <xf numFmtId="4" fontId="8" fillId="33" borderId="20" xfId="0" applyNumberFormat="1" applyFont="1" applyFill="1" applyBorder="1" applyAlignment="1">
      <alignment horizontal="right" vertical="center" wrapText="1"/>
    </xf>
    <xf numFmtId="3" fontId="8" fillId="33" borderId="20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4" fontId="20" fillId="38" borderId="19" xfId="0" applyNumberFormat="1" applyFont="1" applyFill="1" applyBorder="1" applyAlignment="1">
      <alignment vertical="center"/>
    </xf>
    <xf numFmtId="0" fontId="20" fillId="0" borderId="19" xfId="0" applyFont="1" applyBorder="1" applyAlignment="1" quotePrefix="1">
      <alignment horizontal="center" vertical="center"/>
    </xf>
    <xf numFmtId="0" fontId="20" fillId="0" borderId="19" xfId="0" applyFont="1" applyBorder="1" applyAlignment="1">
      <alignment vertical="center" wrapText="1"/>
    </xf>
    <xf numFmtId="4" fontId="20" fillId="0" borderId="19" xfId="0" applyNumberFormat="1" applyFont="1" applyBorder="1" applyAlignment="1">
      <alignment vertical="center"/>
    </xf>
    <xf numFmtId="3" fontId="20" fillId="34" borderId="19" xfId="0" applyNumberFormat="1" applyFont="1" applyFill="1" applyBorder="1" applyAlignment="1">
      <alignment vertical="center"/>
    </xf>
    <xf numFmtId="4" fontId="20" fillId="34" borderId="14" xfId="0" applyNumberFormat="1" applyFont="1" applyFill="1" applyBorder="1" applyAlignment="1">
      <alignment vertical="center"/>
    </xf>
    <xf numFmtId="2" fontId="20" fillId="34" borderId="19" xfId="0" applyNumberFormat="1" applyFont="1" applyFill="1" applyBorder="1" applyAlignment="1">
      <alignment horizontal="right" vertical="center"/>
    </xf>
    <xf numFmtId="3" fontId="20" fillId="33" borderId="19" xfId="0" applyNumberFormat="1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3" fontId="20" fillId="38" borderId="19" xfId="0" applyNumberFormat="1" applyFont="1" applyFill="1" applyBorder="1" applyAlignment="1">
      <alignment horizontal="center" vertical="center"/>
    </xf>
    <xf numFmtId="4" fontId="20" fillId="38" borderId="19" xfId="0" applyNumberFormat="1" applyFont="1" applyFill="1" applyBorder="1" applyAlignment="1">
      <alignment horizontal="center" vertical="center"/>
    </xf>
    <xf numFmtId="4" fontId="20" fillId="38" borderId="19" xfId="0" applyNumberFormat="1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center" vertical="center"/>
    </xf>
    <xf numFmtId="3" fontId="20" fillId="38" borderId="19" xfId="0" applyNumberFormat="1" applyFont="1" applyFill="1" applyBorder="1" applyAlignment="1">
      <alignment horizontal="right" vertical="center"/>
    </xf>
    <xf numFmtId="0" fontId="20" fillId="38" borderId="19" xfId="0" applyFont="1" applyFill="1" applyBorder="1" applyAlignment="1" quotePrefix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164" fontId="20" fillId="0" borderId="16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3" fontId="22" fillId="34" borderId="20" xfId="0" applyNumberFormat="1" applyFont="1" applyFill="1" applyBorder="1" applyAlignment="1">
      <alignment vertical="center"/>
    </xf>
    <xf numFmtId="4" fontId="22" fillId="34" borderId="20" xfId="0" applyNumberFormat="1" applyFont="1" applyFill="1" applyBorder="1" applyAlignment="1">
      <alignment vertical="center"/>
    </xf>
    <xf numFmtId="2" fontId="22" fillId="34" borderId="20" xfId="0" applyNumberFormat="1" applyFont="1" applyFill="1" applyBorder="1" applyAlignment="1">
      <alignment horizontal="right" vertical="center"/>
    </xf>
    <xf numFmtId="3" fontId="20" fillId="33" borderId="20" xfId="0" applyNumberFormat="1" applyFont="1" applyFill="1" applyBorder="1" applyAlignment="1">
      <alignment vertical="center"/>
    </xf>
    <xf numFmtId="4" fontId="20" fillId="33" borderId="20" xfId="0" applyNumberFormat="1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3" fontId="22" fillId="33" borderId="20" xfId="0" applyNumberFormat="1" applyFont="1" applyFill="1" applyBorder="1" applyAlignment="1">
      <alignment vertical="center"/>
    </xf>
    <xf numFmtId="4" fontId="22" fillId="33" borderId="20" xfId="0" applyNumberFormat="1" applyFont="1" applyFill="1" applyBorder="1" applyAlignment="1">
      <alignment vertical="center"/>
    </xf>
    <xf numFmtId="3" fontId="20" fillId="38" borderId="20" xfId="0" applyNumberFormat="1" applyFont="1" applyFill="1" applyBorder="1" applyAlignment="1">
      <alignment horizontal="center" vertical="center"/>
    </xf>
    <xf numFmtId="4" fontId="20" fillId="38" borderId="20" xfId="0" applyNumberFormat="1" applyFont="1" applyFill="1" applyBorder="1" applyAlignment="1">
      <alignment horizontal="center" vertical="center"/>
    </xf>
    <xf numFmtId="4" fontId="20" fillId="38" borderId="20" xfId="0" applyNumberFormat="1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center" vertical="center"/>
    </xf>
    <xf numFmtId="3" fontId="20" fillId="38" borderId="20" xfId="0" applyNumberFormat="1" applyFont="1" applyFill="1" applyBorder="1" applyAlignment="1">
      <alignment horizontal="right" vertical="center"/>
    </xf>
    <xf numFmtId="49" fontId="22" fillId="38" borderId="1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 quotePrefix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0" xfId="0" applyFont="1" applyBorder="1" applyAlignment="1">
      <alignment vertical="center" wrapText="1"/>
    </xf>
    <xf numFmtId="3" fontId="22" fillId="34" borderId="15" xfId="0" applyNumberFormat="1" applyFont="1" applyFill="1" applyBorder="1" applyAlignment="1">
      <alignment vertical="center"/>
    </xf>
    <xf numFmtId="4" fontId="22" fillId="34" borderId="15" xfId="0" applyNumberFormat="1" applyFont="1" applyFill="1" applyBorder="1" applyAlignment="1">
      <alignment vertical="center"/>
    </xf>
    <xf numFmtId="2" fontId="22" fillId="34" borderId="10" xfId="0" applyNumberFormat="1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 vertical="center"/>
    </xf>
    <xf numFmtId="4" fontId="20" fillId="33" borderId="15" xfId="0" applyNumberFormat="1" applyFont="1" applyFill="1" applyBorder="1" applyAlignment="1">
      <alignment vertical="center"/>
    </xf>
    <xf numFmtId="3" fontId="20" fillId="38" borderId="15" xfId="0" applyNumberFormat="1" applyFont="1" applyFill="1" applyBorder="1" applyAlignment="1">
      <alignment horizontal="center" vertical="center"/>
    </xf>
    <xf numFmtId="4" fontId="20" fillId="38" borderId="15" xfId="0" applyNumberFormat="1" applyFont="1" applyFill="1" applyBorder="1" applyAlignment="1">
      <alignment horizontal="center" vertical="center"/>
    </xf>
    <xf numFmtId="4" fontId="20" fillId="38" borderId="10" xfId="0" applyNumberFormat="1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" fontId="20" fillId="38" borderId="10" xfId="0" applyNumberFormat="1" applyFont="1" applyFill="1" applyBorder="1" applyAlignment="1">
      <alignment horizontal="right" vertical="center"/>
    </xf>
    <xf numFmtId="0" fontId="22" fillId="38" borderId="10" xfId="0" applyFont="1" applyFill="1" applyBorder="1" applyAlignment="1" quotePrefix="1">
      <alignment horizontal="center" vertical="center"/>
    </xf>
    <xf numFmtId="16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2" fontId="22" fillId="34" borderId="15" xfId="0" applyNumberFormat="1" applyFont="1" applyFill="1" applyBorder="1" applyAlignment="1">
      <alignment horizontal="right" vertical="center"/>
    </xf>
    <xf numFmtId="3" fontId="22" fillId="33" borderId="15" xfId="0" applyNumberFormat="1" applyFont="1" applyFill="1" applyBorder="1" applyAlignment="1">
      <alignment vertical="center"/>
    </xf>
    <xf numFmtId="4" fontId="22" fillId="33" borderId="15" xfId="0" applyNumberFormat="1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3" fontId="22" fillId="38" borderId="15" xfId="0" applyNumberFormat="1" applyFont="1" applyFill="1" applyBorder="1" applyAlignment="1">
      <alignment horizontal="center" vertical="center"/>
    </xf>
    <xf numFmtId="4" fontId="22" fillId="38" borderId="15" xfId="0" applyNumberFormat="1" applyFont="1" applyFill="1" applyBorder="1" applyAlignment="1">
      <alignment horizontal="center" vertical="center"/>
    </xf>
    <xf numFmtId="4" fontId="22" fillId="38" borderId="15" xfId="0" applyNumberFormat="1" applyFont="1" applyFill="1" applyBorder="1" applyAlignment="1">
      <alignment horizontal="right" vertical="center"/>
    </xf>
    <xf numFmtId="3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right" vertical="center"/>
    </xf>
    <xf numFmtId="4" fontId="22" fillId="38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16" xfId="0" applyFont="1" applyBorder="1" applyAlignment="1" quotePrefix="1">
      <alignment horizontal="center" vertical="center"/>
    </xf>
    <xf numFmtId="0" fontId="22" fillId="0" borderId="16" xfId="0" applyFont="1" applyBorder="1" applyAlignment="1">
      <alignment vertical="center" wrapText="1"/>
    </xf>
    <xf numFmtId="164" fontId="22" fillId="0" borderId="16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3" fontId="22" fillId="34" borderId="17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2" fontId="22" fillId="34" borderId="17" xfId="0" applyNumberFormat="1" applyFont="1" applyFill="1" applyBorder="1" applyAlignment="1">
      <alignment horizontal="right" vertical="center"/>
    </xf>
    <xf numFmtId="3" fontId="22" fillId="33" borderId="16" xfId="0" applyNumberFormat="1" applyFont="1" applyFill="1" applyBorder="1" applyAlignment="1">
      <alignment vertical="center"/>
    </xf>
    <xf numFmtId="4" fontId="22" fillId="33" borderId="16" xfId="0" applyNumberFormat="1" applyFont="1" applyFill="1" applyBorder="1" applyAlignment="1">
      <alignment vertical="center"/>
    </xf>
    <xf numFmtId="0" fontId="22" fillId="33" borderId="16" xfId="0" applyFont="1" applyFill="1" applyBorder="1" applyAlignment="1">
      <alignment vertical="center"/>
    </xf>
    <xf numFmtId="4" fontId="20" fillId="33" borderId="17" xfId="0" applyNumberFormat="1" applyFont="1" applyFill="1" applyBorder="1" applyAlignment="1">
      <alignment vertical="center"/>
    </xf>
    <xf numFmtId="3" fontId="22" fillId="38" borderId="17" xfId="0" applyNumberFormat="1" applyFont="1" applyFill="1" applyBorder="1" applyAlignment="1">
      <alignment horizontal="center" vertical="center"/>
    </xf>
    <xf numFmtId="4" fontId="22" fillId="38" borderId="17" xfId="0" applyNumberFormat="1" applyFont="1" applyFill="1" applyBorder="1" applyAlignment="1">
      <alignment horizontal="center" vertical="center"/>
    </xf>
    <xf numFmtId="4" fontId="22" fillId="38" borderId="16" xfId="0" applyNumberFormat="1" applyFont="1" applyFill="1" applyBorder="1" applyAlignment="1">
      <alignment horizontal="right" vertical="center"/>
    </xf>
    <xf numFmtId="3" fontId="22" fillId="33" borderId="16" xfId="0" applyNumberFormat="1" applyFont="1" applyFill="1" applyBorder="1" applyAlignment="1">
      <alignment horizontal="center" vertical="center"/>
    </xf>
    <xf numFmtId="4" fontId="22" fillId="33" borderId="16" xfId="0" applyNumberFormat="1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3" fontId="22" fillId="38" borderId="16" xfId="0" applyNumberFormat="1" applyFont="1" applyFill="1" applyBorder="1" applyAlignment="1">
      <alignment horizontal="right" vertical="center"/>
    </xf>
    <xf numFmtId="0" fontId="22" fillId="38" borderId="16" xfId="0" applyFont="1" applyFill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>
      <alignment vertical="center" wrapText="1"/>
    </xf>
    <xf numFmtId="4" fontId="22" fillId="34" borderId="17" xfId="0" applyNumberFormat="1" applyFont="1" applyFill="1" applyBorder="1" applyAlignment="1">
      <alignment vertical="center"/>
    </xf>
    <xf numFmtId="0" fontId="20" fillId="0" borderId="14" xfId="0" applyFont="1" applyBorder="1" applyAlignment="1" quotePrefix="1">
      <alignment horizontal="center" vertical="center"/>
    </xf>
    <xf numFmtId="0" fontId="20" fillId="0" borderId="14" xfId="0" applyFont="1" applyBorder="1" applyAlignment="1">
      <alignment vertical="center" wrapText="1"/>
    </xf>
    <xf numFmtId="4" fontId="20" fillId="0" borderId="14" xfId="0" applyNumberFormat="1" applyFont="1" applyBorder="1" applyAlignment="1">
      <alignment vertical="center"/>
    </xf>
    <xf numFmtId="3" fontId="20" fillId="34" borderId="14" xfId="0" applyNumberFormat="1" applyFont="1" applyFill="1" applyBorder="1" applyAlignment="1">
      <alignment vertical="center"/>
    </xf>
    <xf numFmtId="2" fontId="20" fillId="34" borderId="14" xfId="0" applyNumberFormat="1" applyFont="1" applyFill="1" applyBorder="1" applyAlignment="1">
      <alignment horizontal="right" vertical="center"/>
    </xf>
    <xf numFmtId="3" fontId="20" fillId="33" borderId="14" xfId="0" applyNumberFormat="1" applyFont="1" applyFill="1" applyBorder="1" applyAlignment="1">
      <alignment vertical="center"/>
    </xf>
    <xf numFmtId="4" fontId="20" fillId="33" borderId="14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4" fontId="20" fillId="38" borderId="14" xfId="0" applyNumberFormat="1" applyFont="1" applyFill="1" applyBorder="1" applyAlignment="1">
      <alignment horizontal="center" vertical="center"/>
    </xf>
    <xf numFmtId="4" fontId="20" fillId="38" borderId="14" xfId="0" applyNumberFormat="1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horizontal="center" vertical="center"/>
    </xf>
    <xf numFmtId="3" fontId="20" fillId="38" borderId="14" xfId="0" applyNumberFormat="1" applyFont="1" applyFill="1" applyBorder="1" applyAlignment="1">
      <alignment horizontal="right" vertical="center"/>
    </xf>
    <xf numFmtId="0" fontId="20" fillId="38" borderId="14" xfId="0" applyFont="1" applyFill="1" applyBorder="1" applyAlignment="1" quotePrefix="1">
      <alignment horizontal="center" vertical="center"/>
    </xf>
    <xf numFmtId="0" fontId="22" fillId="0" borderId="19" xfId="0" applyFont="1" applyBorder="1" applyAlignment="1" quotePrefix="1">
      <alignment horizontal="center" vertical="center"/>
    </xf>
    <xf numFmtId="0" fontId="22" fillId="0" borderId="14" xfId="0" applyFont="1" applyBorder="1" applyAlignment="1">
      <alignment vertical="center" wrapText="1"/>
    </xf>
    <xf numFmtId="3" fontId="22" fillId="34" borderId="14" xfId="0" applyNumberFormat="1" applyFont="1" applyFill="1" applyBorder="1" applyAlignment="1">
      <alignment vertical="center"/>
    </xf>
    <xf numFmtId="4" fontId="22" fillId="34" borderId="14" xfId="0" applyNumberFormat="1" applyFont="1" applyFill="1" applyBorder="1" applyAlignment="1">
      <alignment vertical="center"/>
    </xf>
    <xf numFmtId="0" fontId="22" fillId="0" borderId="14" xfId="0" applyFont="1" applyBorder="1" applyAlignment="1" quotePrefix="1">
      <alignment horizontal="center" vertical="center"/>
    </xf>
    <xf numFmtId="164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2" fontId="22" fillId="34" borderId="14" xfId="0" applyNumberFormat="1" applyFont="1" applyFill="1" applyBorder="1" applyAlignment="1">
      <alignment horizontal="right" vertical="center"/>
    </xf>
    <xf numFmtId="3" fontId="22" fillId="33" borderId="14" xfId="0" applyNumberFormat="1" applyFont="1" applyFill="1" applyBorder="1" applyAlignment="1">
      <alignment vertical="center"/>
    </xf>
    <xf numFmtId="4" fontId="22" fillId="33" borderId="14" xfId="0" applyNumberFormat="1" applyFont="1" applyFill="1" applyBorder="1" applyAlignment="1">
      <alignment vertical="center"/>
    </xf>
    <xf numFmtId="0" fontId="22" fillId="33" borderId="14" xfId="0" applyFont="1" applyFill="1" applyBorder="1" applyAlignment="1">
      <alignment vertical="center"/>
    </xf>
    <xf numFmtId="3" fontId="22" fillId="38" borderId="14" xfId="0" applyNumberFormat="1" applyFont="1" applyFill="1" applyBorder="1" applyAlignment="1">
      <alignment horizontal="center" vertical="center"/>
    </xf>
    <xf numFmtId="4" fontId="22" fillId="38" borderId="14" xfId="0" applyNumberFormat="1" applyFont="1" applyFill="1" applyBorder="1" applyAlignment="1">
      <alignment horizontal="center" vertical="center"/>
    </xf>
    <xf numFmtId="4" fontId="22" fillId="38" borderId="14" xfId="0" applyNumberFormat="1" applyFont="1" applyFill="1" applyBorder="1" applyAlignment="1">
      <alignment horizontal="right" vertical="center"/>
    </xf>
    <xf numFmtId="0" fontId="22" fillId="33" borderId="14" xfId="0" applyFont="1" applyFill="1" applyBorder="1" applyAlignment="1">
      <alignment horizontal="center" vertical="center"/>
    </xf>
    <xf numFmtId="3" fontId="22" fillId="38" borderId="14" xfId="0" applyNumberFormat="1" applyFont="1" applyFill="1" applyBorder="1" applyAlignment="1">
      <alignment horizontal="right" vertical="center"/>
    </xf>
    <xf numFmtId="0" fontId="22" fillId="38" borderId="14" xfId="0" applyFont="1" applyFill="1" applyBorder="1" applyAlignment="1" quotePrefix="1">
      <alignment horizontal="center" vertical="center"/>
    </xf>
    <xf numFmtId="3" fontId="22" fillId="34" borderId="16" xfId="0" applyNumberFormat="1" applyFont="1" applyFill="1" applyBorder="1" applyAlignment="1">
      <alignment vertical="center"/>
    </xf>
    <xf numFmtId="2" fontId="20" fillId="33" borderId="19" xfId="0" applyNumberFormat="1" applyFont="1" applyFill="1" applyBorder="1" applyAlignment="1">
      <alignment horizontal="right" vertical="center"/>
    </xf>
    <xf numFmtId="3" fontId="20" fillId="38" borderId="19" xfId="0" applyNumberFormat="1" applyFont="1" applyFill="1" applyBorder="1" applyAlignment="1">
      <alignment vertical="center"/>
    </xf>
    <xf numFmtId="3" fontId="22" fillId="0" borderId="20" xfId="0" applyNumberFormat="1" applyFont="1" applyBorder="1" applyAlignment="1">
      <alignment vertical="center" wrapText="1"/>
    </xf>
    <xf numFmtId="164" fontId="22" fillId="0" borderId="20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0" fontId="22" fillId="33" borderId="27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3" fontId="22" fillId="38" borderId="10" xfId="0" applyNumberFormat="1" applyFont="1" applyFill="1" applyBorder="1" applyAlignment="1">
      <alignment vertical="center"/>
    </xf>
    <xf numFmtId="4" fontId="22" fillId="38" borderId="10" xfId="0" applyNumberFormat="1" applyFont="1" applyFill="1" applyBorder="1" applyAlignment="1">
      <alignment vertical="center"/>
    </xf>
    <xf numFmtId="0" fontId="22" fillId="38" borderId="20" xfId="0" applyFont="1" applyFill="1" applyBorder="1" applyAlignment="1" quotePrefix="1">
      <alignment horizontal="center" vertical="center"/>
    </xf>
    <xf numFmtId="2" fontId="22" fillId="33" borderId="10" xfId="0" applyNumberFormat="1" applyFont="1" applyFill="1" applyBorder="1" applyAlignment="1">
      <alignment horizontal="right" vertical="center"/>
    </xf>
    <xf numFmtId="2" fontId="22" fillId="33" borderId="21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vertical="center"/>
    </xf>
    <xf numFmtId="0" fontId="22" fillId="0" borderId="15" xfId="0" applyFont="1" applyBorder="1" applyAlignment="1" quotePrefix="1">
      <alignment horizontal="center" vertical="center"/>
    </xf>
    <xf numFmtId="0" fontId="22" fillId="0" borderId="15" xfId="0" applyFont="1" applyBorder="1" applyAlignment="1">
      <alignment vertical="center" wrapText="1"/>
    </xf>
    <xf numFmtId="164" fontId="22" fillId="0" borderId="15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22" fillId="34" borderId="19" xfId="0" applyNumberFormat="1" applyFont="1" applyFill="1" applyBorder="1" applyAlignment="1">
      <alignment vertical="center"/>
    </xf>
    <xf numFmtId="3" fontId="22" fillId="33" borderId="19" xfId="0" applyNumberFormat="1" applyFont="1" applyFill="1" applyBorder="1" applyAlignment="1">
      <alignment vertical="center"/>
    </xf>
    <xf numFmtId="4" fontId="22" fillId="33" borderId="17" xfId="0" applyNumberFormat="1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3" fontId="22" fillId="33" borderId="17" xfId="0" applyNumberFormat="1" applyFont="1" applyFill="1" applyBorder="1" applyAlignment="1">
      <alignment vertical="center"/>
    </xf>
    <xf numFmtId="3" fontId="22" fillId="38" borderId="17" xfId="0" applyNumberFormat="1" applyFont="1" applyFill="1" applyBorder="1" applyAlignment="1">
      <alignment vertical="center"/>
    </xf>
    <xf numFmtId="4" fontId="22" fillId="38" borderId="17" xfId="0" applyNumberFormat="1" applyFont="1" applyFill="1" applyBorder="1" applyAlignment="1">
      <alignment vertical="center"/>
    </xf>
    <xf numFmtId="4" fontId="22" fillId="38" borderId="17" xfId="0" applyNumberFormat="1" applyFont="1" applyFill="1" applyBorder="1" applyAlignment="1">
      <alignment horizontal="right" vertical="center"/>
    </xf>
    <xf numFmtId="0" fontId="22" fillId="33" borderId="17" xfId="0" applyFont="1" applyFill="1" applyBorder="1" applyAlignment="1">
      <alignment horizontal="center" vertical="center"/>
    </xf>
    <xf numFmtId="3" fontId="22" fillId="38" borderId="17" xfId="0" applyNumberFormat="1" applyFont="1" applyFill="1" applyBorder="1" applyAlignment="1">
      <alignment horizontal="right" vertical="center"/>
    </xf>
    <xf numFmtId="0" fontId="22" fillId="38" borderId="15" xfId="0" applyFont="1" applyFill="1" applyBorder="1" applyAlignment="1" quotePrefix="1">
      <alignment horizontal="center" vertical="center"/>
    </xf>
    <xf numFmtId="3" fontId="22" fillId="34" borderId="13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20" fillId="34" borderId="19" xfId="0" applyNumberFormat="1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3" fontId="22" fillId="38" borderId="20" xfId="0" applyNumberFormat="1" applyFont="1" applyFill="1" applyBorder="1" applyAlignment="1">
      <alignment vertical="center"/>
    </xf>
    <xf numFmtId="4" fontId="22" fillId="38" borderId="20" xfId="0" applyNumberFormat="1" applyFont="1" applyFill="1" applyBorder="1" applyAlignment="1">
      <alignment vertical="center"/>
    </xf>
    <xf numFmtId="4" fontId="22" fillId="38" borderId="20" xfId="0" applyNumberFormat="1" applyFont="1" applyFill="1" applyBorder="1" applyAlignment="1">
      <alignment horizontal="right" vertical="center"/>
    </xf>
    <xf numFmtId="3" fontId="22" fillId="33" borderId="20" xfId="0" applyNumberFormat="1" applyFont="1" applyFill="1" applyBorder="1" applyAlignment="1">
      <alignment horizontal="center" vertical="center"/>
    </xf>
    <xf numFmtId="4" fontId="22" fillId="33" borderId="20" xfId="0" applyNumberFormat="1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3" fontId="22" fillId="38" borderId="20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 wrapText="1"/>
    </xf>
    <xf numFmtId="4" fontId="22" fillId="34" borderId="16" xfId="0" applyNumberFormat="1" applyFont="1" applyFill="1" applyBorder="1" applyAlignment="1">
      <alignment vertical="center"/>
    </xf>
    <xf numFmtId="2" fontId="20" fillId="33" borderId="14" xfId="0" applyNumberFormat="1" applyFont="1" applyFill="1" applyBorder="1" applyAlignment="1">
      <alignment vertical="center"/>
    </xf>
    <xf numFmtId="3" fontId="20" fillId="38" borderId="14" xfId="0" applyNumberFormat="1" applyFont="1" applyFill="1" applyBorder="1" applyAlignment="1">
      <alignment vertical="center"/>
    </xf>
    <xf numFmtId="4" fontId="20" fillId="38" borderId="14" xfId="0" applyNumberFormat="1" applyFont="1" applyFill="1" applyBorder="1" applyAlignment="1">
      <alignment vertical="center"/>
    </xf>
    <xf numFmtId="2" fontId="22" fillId="34" borderId="16" xfId="0" applyNumberFormat="1" applyFont="1" applyFill="1" applyBorder="1" applyAlignment="1">
      <alignment horizontal="right" vertical="center"/>
    </xf>
    <xf numFmtId="3" fontId="22" fillId="38" borderId="16" xfId="0" applyNumberFormat="1" applyFont="1" applyFill="1" applyBorder="1" applyAlignment="1">
      <alignment vertical="center"/>
    </xf>
    <xf numFmtId="4" fontId="22" fillId="38" borderId="16" xfId="0" applyNumberFormat="1" applyFont="1" applyFill="1" applyBorder="1" applyAlignment="1">
      <alignment vertical="center"/>
    </xf>
    <xf numFmtId="3" fontId="22" fillId="34" borderId="12" xfId="0" applyNumberFormat="1" applyFont="1" applyFill="1" applyBorder="1" applyAlignment="1">
      <alignment vertical="center"/>
    </xf>
    <xf numFmtId="2" fontId="22" fillId="33" borderId="20" xfId="0" applyNumberFormat="1" applyFont="1" applyFill="1" applyBorder="1" applyAlignment="1">
      <alignment vertical="center"/>
    </xf>
    <xf numFmtId="2" fontId="22" fillId="33" borderId="15" xfId="0" applyNumberFormat="1" applyFont="1" applyFill="1" applyBorder="1" applyAlignment="1">
      <alignment vertical="center"/>
    </xf>
    <xf numFmtId="3" fontId="22" fillId="38" borderId="15" xfId="0" applyNumberFormat="1" applyFont="1" applyFill="1" applyBorder="1" applyAlignment="1">
      <alignment vertical="center"/>
    </xf>
    <xf numFmtId="4" fontId="22" fillId="38" borderId="15" xfId="0" applyNumberFormat="1" applyFont="1" applyFill="1" applyBorder="1" applyAlignment="1">
      <alignment vertical="center"/>
    </xf>
    <xf numFmtId="3" fontId="22" fillId="38" borderId="15" xfId="0" applyNumberFormat="1" applyFont="1" applyFill="1" applyBorder="1" applyAlignment="1">
      <alignment horizontal="right" vertical="center"/>
    </xf>
    <xf numFmtId="164" fontId="22" fillId="0" borderId="17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2" fontId="22" fillId="34" borderId="19" xfId="0" applyNumberFormat="1" applyFont="1" applyFill="1" applyBorder="1" applyAlignment="1">
      <alignment horizontal="right" vertical="center"/>
    </xf>
    <xf numFmtId="2" fontId="22" fillId="33" borderId="17" xfId="0" applyNumberFormat="1" applyFont="1" applyFill="1" applyBorder="1" applyAlignment="1">
      <alignment vertical="center"/>
    </xf>
    <xf numFmtId="3" fontId="22" fillId="38" borderId="19" xfId="0" applyNumberFormat="1" applyFont="1" applyFill="1" applyBorder="1" applyAlignment="1">
      <alignment vertical="center"/>
    </xf>
    <xf numFmtId="0" fontId="22" fillId="38" borderId="17" xfId="0" applyFont="1" applyFill="1" applyBorder="1" applyAlignment="1" quotePrefix="1">
      <alignment horizontal="center" vertical="center"/>
    </xf>
    <xf numFmtId="3" fontId="22" fillId="34" borderId="19" xfId="0" applyNumberFormat="1" applyFont="1" applyFill="1" applyBorder="1" applyAlignment="1">
      <alignment vertical="center"/>
    </xf>
    <xf numFmtId="2" fontId="20" fillId="33" borderId="14" xfId="0" applyNumberFormat="1" applyFont="1" applyFill="1" applyBorder="1" applyAlignment="1">
      <alignment horizontal="center" vertical="center"/>
    </xf>
    <xf numFmtId="2" fontId="20" fillId="33" borderId="21" xfId="0" applyNumberFormat="1" applyFont="1" applyFill="1" applyBorder="1" applyAlignment="1">
      <alignment horizontal="center" vertical="center"/>
    </xf>
    <xf numFmtId="2" fontId="20" fillId="33" borderId="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vertical="center"/>
    </xf>
    <xf numFmtId="2" fontId="22" fillId="33" borderId="10" xfId="0" applyNumberFormat="1" applyFont="1" applyFill="1" applyBorder="1" applyAlignment="1">
      <alignment horizontal="center" vertical="center"/>
    </xf>
    <xf numFmtId="2" fontId="22" fillId="33" borderId="15" xfId="0" applyNumberFormat="1" applyFont="1" applyFill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0" fontId="22" fillId="38" borderId="13" xfId="0" applyFont="1" applyFill="1" applyBorder="1" applyAlignment="1" quotePrefix="1">
      <alignment horizontal="center" vertical="center"/>
    </xf>
    <xf numFmtId="2" fontId="22" fillId="33" borderId="16" xfId="0" applyNumberFormat="1" applyFont="1" applyFill="1" applyBorder="1" applyAlignment="1">
      <alignment vertical="center"/>
    </xf>
    <xf numFmtId="2" fontId="22" fillId="33" borderId="16" xfId="0" applyNumberFormat="1" applyFont="1" applyFill="1" applyBorder="1" applyAlignment="1">
      <alignment horizontal="center" vertical="center"/>
    </xf>
    <xf numFmtId="0" fontId="20" fillId="0" borderId="20" xfId="0" applyFont="1" applyBorder="1" applyAlignment="1" quotePrefix="1">
      <alignment horizontal="center" vertical="center"/>
    </xf>
    <xf numFmtId="3" fontId="20" fillId="34" borderId="12" xfId="0" applyNumberFormat="1" applyFont="1" applyFill="1" applyBorder="1" applyAlignment="1">
      <alignment vertical="center"/>
    </xf>
    <xf numFmtId="0" fontId="20" fillId="38" borderId="20" xfId="0" applyFont="1" applyFill="1" applyBorder="1" applyAlignment="1" quotePrefix="1">
      <alignment horizontal="center" vertical="center"/>
    </xf>
    <xf numFmtId="2" fontId="22" fillId="34" borderId="12" xfId="0" applyNumberFormat="1" applyFont="1" applyFill="1" applyBorder="1" applyAlignment="1">
      <alignment horizontal="right" vertical="center"/>
    </xf>
    <xf numFmtId="0" fontId="22" fillId="0" borderId="12" xfId="0" applyFont="1" applyBorder="1" applyAlignment="1">
      <alignment vertical="center" wrapText="1"/>
    </xf>
    <xf numFmtId="164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3" fontId="22" fillId="33" borderId="12" xfId="0" applyNumberFormat="1" applyFont="1" applyFill="1" applyBorder="1" applyAlignment="1">
      <alignment vertical="center"/>
    </xf>
    <xf numFmtId="4" fontId="22" fillId="33" borderId="12" xfId="0" applyNumberFormat="1" applyFont="1" applyFill="1" applyBorder="1" applyAlignment="1">
      <alignment vertical="center"/>
    </xf>
    <xf numFmtId="2" fontId="22" fillId="33" borderId="12" xfId="0" applyNumberFormat="1" applyFont="1" applyFill="1" applyBorder="1" applyAlignment="1">
      <alignment vertical="center"/>
    </xf>
    <xf numFmtId="3" fontId="22" fillId="38" borderId="12" xfId="0" applyNumberFormat="1" applyFont="1" applyFill="1" applyBorder="1" applyAlignment="1">
      <alignment vertical="center"/>
    </xf>
    <xf numFmtId="4" fontId="22" fillId="38" borderId="12" xfId="0" applyNumberFormat="1" applyFont="1" applyFill="1" applyBorder="1" applyAlignment="1">
      <alignment vertical="center"/>
    </xf>
    <xf numFmtId="4" fontId="22" fillId="38" borderId="12" xfId="0" applyNumberFormat="1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center" vertical="center"/>
    </xf>
    <xf numFmtId="4" fontId="22" fillId="33" borderId="12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3" fontId="22" fillId="38" borderId="12" xfId="0" applyNumberFormat="1" applyFont="1" applyFill="1" applyBorder="1" applyAlignment="1">
      <alignment horizontal="right" vertical="center"/>
    </xf>
    <xf numFmtId="4" fontId="20" fillId="34" borderId="14" xfId="0" applyNumberFormat="1" applyFont="1" applyFill="1" applyBorder="1" applyAlignment="1">
      <alignment horizontal="right" vertical="center"/>
    </xf>
    <xf numFmtId="4" fontId="22" fillId="34" borderId="20" xfId="0" applyNumberFormat="1" applyFont="1" applyFill="1" applyBorder="1" applyAlignment="1">
      <alignment horizontal="right" vertical="center"/>
    </xf>
    <xf numFmtId="4" fontId="22" fillId="34" borderId="15" xfId="0" applyNumberFormat="1" applyFont="1" applyFill="1" applyBorder="1" applyAlignment="1">
      <alignment horizontal="right" vertical="center"/>
    </xf>
    <xf numFmtId="4" fontId="22" fillId="34" borderId="19" xfId="0" applyNumberFormat="1" applyFont="1" applyFill="1" applyBorder="1" applyAlignment="1">
      <alignment horizontal="right" vertical="center"/>
    </xf>
    <xf numFmtId="164" fontId="20" fillId="0" borderId="14" xfId="0" applyNumberFormat="1" applyFont="1" applyBorder="1" applyAlignment="1">
      <alignment vertical="center"/>
    </xf>
    <xf numFmtId="4" fontId="22" fillId="34" borderId="14" xfId="0" applyNumberFormat="1" applyFont="1" applyFill="1" applyBorder="1" applyAlignment="1">
      <alignment horizontal="right" vertical="center"/>
    </xf>
    <xf numFmtId="2" fontId="22" fillId="33" borderId="14" xfId="0" applyNumberFormat="1" applyFont="1" applyFill="1" applyBorder="1" applyAlignment="1">
      <alignment horizontal="center" vertical="center"/>
    </xf>
    <xf numFmtId="4" fontId="22" fillId="34" borderId="16" xfId="0" applyNumberFormat="1" applyFont="1" applyFill="1" applyBorder="1" applyAlignment="1">
      <alignment horizontal="right" vertical="center"/>
    </xf>
    <xf numFmtId="3" fontId="22" fillId="38" borderId="16" xfId="0" applyNumberFormat="1" applyFont="1" applyFill="1" applyBorder="1" applyAlignment="1">
      <alignment horizontal="center" vertical="center"/>
    </xf>
    <xf numFmtId="4" fontId="22" fillId="38" borderId="16" xfId="0" applyNumberFormat="1" applyFont="1" applyFill="1" applyBorder="1" applyAlignment="1">
      <alignment horizontal="center" vertical="center"/>
    </xf>
    <xf numFmtId="164" fontId="22" fillId="0" borderId="13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3" fontId="22" fillId="33" borderId="13" xfId="0" applyNumberFormat="1" applyFont="1" applyFill="1" applyBorder="1" applyAlignment="1">
      <alignment vertical="center"/>
    </xf>
    <xf numFmtId="4" fontId="22" fillId="33" borderId="13" xfId="0" applyNumberFormat="1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3" fontId="22" fillId="38" borderId="13" xfId="0" applyNumberFormat="1" applyFont="1" applyFill="1" applyBorder="1" applyAlignment="1">
      <alignment horizontal="center" vertical="center"/>
    </xf>
    <xf numFmtId="4" fontId="22" fillId="38" borderId="13" xfId="0" applyNumberFormat="1" applyFont="1" applyFill="1" applyBorder="1" applyAlignment="1">
      <alignment horizontal="center" vertical="center"/>
    </xf>
    <xf numFmtId="4" fontId="22" fillId="38" borderId="13" xfId="0" applyNumberFormat="1" applyFont="1" applyFill="1" applyBorder="1" applyAlignment="1">
      <alignment horizontal="right" vertical="center"/>
    </xf>
    <xf numFmtId="3" fontId="22" fillId="38" borderId="13" xfId="0" applyNumberFormat="1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/>
    </xf>
    <xf numFmtId="4" fontId="22" fillId="34" borderId="13" xfId="0" applyNumberFormat="1" applyFont="1" applyFill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2" fontId="22" fillId="33" borderId="13" xfId="0" applyNumberFormat="1" applyFont="1" applyFill="1" applyBorder="1" applyAlignment="1">
      <alignment vertical="center"/>
    </xf>
    <xf numFmtId="0" fontId="22" fillId="33" borderId="56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4" fontId="22" fillId="34" borderId="17" xfId="0" applyNumberFormat="1" applyFont="1" applyFill="1" applyBorder="1" applyAlignment="1">
      <alignment horizontal="right" vertical="center"/>
    </xf>
    <xf numFmtId="3" fontId="22" fillId="38" borderId="13" xfId="0" applyNumberFormat="1" applyFont="1" applyFill="1" applyBorder="1" applyAlignment="1">
      <alignment vertical="center"/>
    </xf>
    <xf numFmtId="4" fontId="22" fillId="38" borderId="13" xfId="0" applyNumberFormat="1" applyFont="1" applyFill="1" applyBorder="1" applyAlignment="1">
      <alignment vertical="center"/>
    </xf>
    <xf numFmtId="3" fontId="22" fillId="38" borderId="17" xfId="0" applyNumberFormat="1" applyFont="1" applyFill="1" applyBorder="1" applyAlignment="1" quotePrefix="1">
      <alignment vertical="center"/>
    </xf>
    <xf numFmtId="3" fontId="22" fillId="33" borderId="19" xfId="0" applyNumberFormat="1" applyFont="1" applyFill="1" applyBorder="1" applyAlignment="1">
      <alignment horizontal="center" vertical="center"/>
    </xf>
    <xf numFmtId="4" fontId="22" fillId="33" borderId="19" xfId="0" applyNumberFormat="1" applyFont="1" applyFill="1" applyBorder="1" applyAlignment="1">
      <alignment horizontal="center" vertical="center"/>
    </xf>
    <xf numFmtId="3" fontId="22" fillId="38" borderId="19" xfId="0" applyNumberFormat="1" applyFont="1" applyFill="1" applyBorder="1" applyAlignment="1">
      <alignment horizontal="right" vertical="center"/>
    </xf>
    <xf numFmtId="4" fontId="22" fillId="38" borderId="19" xfId="0" applyNumberFormat="1" applyFont="1" applyFill="1" applyBorder="1" applyAlignment="1">
      <alignment horizontal="right" vertical="center"/>
    </xf>
    <xf numFmtId="164" fontId="22" fillId="0" borderId="19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2" fontId="22" fillId="33" borderId="14" xfId="0" applyNumberFormat="1" applyFont="1" applyFill="1" applyBorder="1" applyAlignment="1">
      <alignment vertical="center"/>
    </xf>
    <xf numFmtId="4" fontId="22" fillId="33" borderId="19" xfId="0" applyNumberFormat="1" applyFont="1" applyFill="1" applyBorder="1" applyAlignment="1">
      <alignment vertical="center"/>
    </xf>
    <xf numFmtId="2" fontId="22" fillId="33" borderId="19" xfId="0" applyNumberFormat="1" applyFont="1" applyFill="1" applyBorder="1" applyAlignment="1">
      <alignment vertical="center"/>
    </xf>
    <xf numFmtId="3" fontId="22" fillId="38" borderId="19" xfId="0" applyNumberFormat="1" applyFont="1" applyFill="1" applyBorder="1" applyAlignment="1" quotePrefix="1">
      <alignment vertical="center"/>
    </xf>
    <xf numFmtId="4" fontId="22" fillId="38" borderId="14" xfId="0" applyNumberFormat="1" applyFont="1" applyFill="1" applyBorder="1" applyAlignment="1" quotePrefix="1">
      <alignment vertical="center"/>
    </xf>
    <xf numFmtId="0" fontId="22" fillId="38" borderId="19" xfId="0" applyFont="1" applyFill="1" applyBorder="1" applyAlignment="1" quotePrefix="1">
      <alignment horizontal="center" vertical="center"/>
    </xf>
    <xf numFmtId="4" fontId="22" fillId="34" borderId="10" xfId="0" applyNumberFormat="1" applyFont="1" applyFill="1" applyBorder="1" applyAlignment="1">
      <alignment horizontal="right" vertical="center"/>
    </xf>
    <xf numFmtId="0" fontId="22" fillId="33" borderId="15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/>
    </xf>
    <xf numFmtId="4" fontId="22" fillId="38" borderId="19" xfId="0" applyNumberFormat="1" applyFont="1" applyFill="1" applyBorder="1" applyAlignment="1">
      <alignment vertical="center"/>
    </xf>
    <xf numFmtId="0" fontId="22" fillId="33" borderId="19" xfId="0" applyFont="1" applyFill="1" applyBorder="1" applyAlignment="1">
      <alignment horizontal="center" vertical="center"/>
    </xf>
    <xf numFmtId="164" fontId="20" fillId="0" borderId="19" xfId="0" applyNumberFormat="1" applyFont="1" applyBorder="1" applyAlignment="1">
      <alignment vertical="center"/>
    </xf>
    <xf numFmtId="4" fontId="20" fillId="34" borderId="19" xfId="0" applyNumberFormat="1" applyFont="1" applyFill="1" applyBorder="1" applyAlignment="1">
      <alignment horizontal="right" vertical="center"/>
    </xf>
    <xf numFmtId="3" fontId="22" fillId="38" borderId="19" xfId="0" applyNumberFormat="1" applyFont="1" applyFill="1" applyBorder="1" applyAlignment="1">
      <alignment horizontal="center" vertical="center"/>
    </xf>
    <xf numFmtId="3" fontId="22" fillId="38" borderId="20" xfId="0" applyNumberFormat="1" applyFont="1" applyFill="1" applyBorder="1" applyAlignment="1">
      <alignment horizontal="center" vertical="center"/>
    </xf>
    <xf numFmtId="4" fontId="22" fillId="34" borderId="13" xfId="0" applyNumberFormat="1" applyFont="1" applyFill="1" applyBorder="1" applyAlignment="1">
      <alignment horizontal="right" vertical="center"/>
    </xf>
    <xf numFmtId="4" fontId="22" fillId="38" borderId="14" xfId="0" applyNumberFormat="1" applyFont="1" applyFill="1" applyBorder="1" applyAlignment="1">
      <alignment vertical="center"/>
    </xf>
    <xf numFmtId="0" fontId="22" fillId="0" borderId="12" xfId="0" applyFont="1" applyBorder="1" applyAlignment="1" quotePrefix="1">
      <alignment horizontal="center" vertical="center"/>
    </xf>
    <xf numFmtId="3" fontId="22" fillId="0" borderId="16" xfId="0" applyNumberFormat="1" applyFont="1" applyFill="1" applyBorder="1" applyAlignment="1">
      <alignment vertical="center"/>
    </xf>
    <xf numFmtId="4" fontId="22" fillId="0" borderId="16" xfId="0" applyNumberFormat="1" applyFont="1" applyFill="1" applyBorder="1" applyAlignment="1">
      <alignment vertical="center"/>
    </xf>
    <xf numFmtId="0" fontId="22" fillId="38" borderId="12" xfId="0" applyFont="1" applyFill="1" applyBorder="1" applyAlignment="1" quotePrefix="1">
      <alignment horizontal="center" vertical="center"/>
    </xf>
    <xf numFmtId="0" fontId="22" fillId="0" borderId="23" xfId="0" applyFont="1" applyBorder="1" applyAlignment="1" quotePrefix="1">
      <alignment horizontal="center" vertical="center"/>
    </xf>
    <xf numFmtId="0" fontId="20" fillId="34" borderId="11" xfId="0" applyFont="1" applyFill="1" applyBorder="1" applyAlignment="1">
      <alignment horizontal="left" vertical="center" wrapText="1"/>
    </xf>
    <xf numFmtId="164" fontId="20" fillId="34" borderId="11" xfId="0" applyNumberFormat="1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3" fontId="20" fillId="34" borderId="58" xfId="0" applyNumberFormat="1" applyFont="1" applyFill="1" applyBorder="1" applyAlignment="1">
      <alignment vertical="center"/>
    </xf>
    <xf numFmtId="4" fontId="20" fillId="34" borderId="58" xfId="0" applyNumberFormat="1" applyFont="1" applyFill="1" applyBorder="1" applyAlignment="1">
      <alignment vertical="center"/>
    </xf>
    <xf numFmtId="4" fontId="20" fillId="34" borderId="59" xfId="0" applyNumberFormat="1" applyFont="1" applyFill="1" applyBorder="1" applyAlignment="1">
      <alignment horizontal="right" vertical="center"/>
    </xf>
    <xf numFmtId="3" fontId="20" fillId="38" borderId="11" xfId="0" applyNumberFormat="1" applyFont="1" applyFill="1" applyBorder="1" applyAlignment="1">
      <alignment vertical="center"/>
    </xf>
    <xf numFmtId="4" fontId="20" fillId="38" borderId="11" xfId="0" applyNumberFormat="1" applyFont="1" applyFill="1" applyBorder="1" applyAlignment="1">
      <alignment vertical="center"/>
    </xf>
    <xf numFmtId="4" fontId="20" fillId="38" borderId="11" xfId="0" applyNumberFormat="1" applyFont="1" applyFill="1" applyBorder="1" applyAlignment="1">
      <alignment horizontal="right" vertical="center"/>
    </xf>
    <xf numFmtId="4" fontId="20" fillId="33" borderId="21" xfId="0" applyNumberFormat="1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33" borderId="0" xfId="0" applyNumberFormat="1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3" fontId="21" fillId="38" borderId="0" xfId="0" applyNumberFormat="1" applyFont="1" applyFill="1" applyAlignment="1">
      <alignment vertical="center"/>
    </xf>
    <xf numFmtId="4" fontId="21" fillId="38" borderId="0" xfId="0" applyNumberFormat="1" applyFont="1" applyFill="1" applyAlignment="1">
      <alignment vertical="center"/>
    </xf>
    <xf numFmtId="0" fontId="21" fillId="38" borderId="0" xfId="0" applyFont="1" applyFill="1" applyAlignment="1">
      <alignment horizontal="right" vertical="center"/>
    </xf>
    <xf numFmtId="4" fontId="21" fillId="38" borderId="0" xfId="0" applyNumberFormat="1" applyFont="1" applyFill="1" applyAlignment="1">
      <alignment horizontal="right" vertical="center"/>
    </xf>
    <xf numFmtId="0" fontId="21" fillId="38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3" fontId="22" fillId="33" borderId="0" xfId="0" applyNumberFormat="1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22" fillId="0" borderId="0" xfId="0" applyFont="1" applyAlignment="1" quotePrefix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 quotePrefix="1">
      <alignment vertical="center"/>
    </xf>
    <xf numFmtId="0" fontId="22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33" borderId="55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vertical="center"/>
    </xf>
    <xf numFmtId="0" fontId="5" fillId="33" borderId="71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8" fillId="33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8" borderId="70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38" borderId="72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71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0.625" style="1" customWidth="1"/>
    <col min="4" max="4" width="13.125" style="1" customWidth="1"/>
    <col min="5" max="5" width="6.25390625" style="1" customWidth="1"/>
    <col min="6" max="6" width="10.875" style="1" customWidth="1"/>
    <col min="7" max="7" width="13.375" style="1" customWidth="1"/>
    <col min="8" max="8" width="6.25390625" style="1" customWidth="1"/>
    <col min="9" max="9" width="9.625" style="1" customWidth="1"/>
    <col min="10" max="10" width="12.00390625" style="1" customWidth="1"/>
    <col min="11" max="11" width="6.25390625" style="1" customWidth="1"/>
    <col min="12" max="16384" width="9.125" style="1" customWidth="1"/>
  </cols>
  <sheetData>
    <row r="1" spans="1:11" ht="18">
      <c r="A1" s="831" t="s">
        <v>294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</row>
    <row r="2" spans="1:11" ht="13.5" thickBot="1">
      <c r="A2" s="830"/>
      <c r="B2" s="830"/>
      <c r="C2" s="830"/>
      <c r="D2" s="830"/>
      <c r="E2" s="830"/>
      <c r="F2" s="830"/>
      <c r="G2" s="830"/>
      <c r="H2" s="830"/>
      <c r="I2" s="24"/>
      <c r="J2" s="24"/>
      <c r="K2" s="24"/>
    </row>
    <row r="3" spans="1:11" ht="12.75">
      <c r="A3" s="834" t="s">
        <v>0</v>
      </c>
      <c r="B3" s="832" t="s">
        <v>20</v>
      </c>
      <c r="C3" s="836" t="s">
        <v>163</v>
      </c>
      <c r="D3" s="837"/>
      <c r="E3" s="838"/>
      <c r="F3" s="839" t="s">
        <v>148</v>
      </c>
      <c r="G3" s="840"/>
      <c r="H3" s="842"/>
      <c r="I3" s="839" t="s">
        <v>152</v>
      </c>
      <c r="J3" s="840"/>
      <c r="K3" s="841"/>
    </row>
    <row r="4" spans="1:11" ht="12.75">
      <c r="A4" s="835"/>
      <c r="B4" s="833"/>
      <c r="C4" s="56" t="s">
        <v>149</v>
      </c>
      <c r="D4" s="56" t="s">
        <v>136</v>
      </c>
      <c r="E4" s="56" t="s">
        <v>129</v>
      </c>
      <c r="F4" s="56" t="s">
        <v>149</v>
      </c>
      <c r="G4" s="56" t="s">
        <v>136</v>
      </c>
      <c r="H4" s="56" t="s">
        <v>129</v>
      </c>
      <c r="I4" s="56" t="s">
        <v>149</v>
      </c>
      <c r="J4" s="56" t="s">
        <v>136</v>
      </c>
      <c r="K4" s="331" t="s">
        <v>129</v>
      </c>
    </row>
    <row r="5" spans="1:11" ht="12.75">
      <c r="A5" s="332">
        <v>1</v>
      </c>
      <c r="B5" s="133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140">
        <v>9</v>
      </c>
      <c r="J5" s="140">
        <v>10</v>
      </c>
      <c r="K5" s="333">
        <v>11</v>
      </c>
    </row>
    <row r="6" spans="1:11" ht="12.75">
      <c r="A6" s="334" t="s">
        <v>1</v>
      </c>
      <c r="B6" s="137" t="s">
        <v>5</v>
      </c>
      <c r="C6" s="83">
        <f>WYDATKI!E12</f>
        <v>4388934</v>
      </c>
      <c r="D6" s="85">
        <f>WYDATKI!F12</f>
        <v>4047739.93</v>
      </c>
      <c r="E6" s="85">
        <f>WYDATKI!M12</f>
        <v>91.71141267719379</v>
      </c>
      <c r="F6" s="138">
        <f>C6-I6</f>
        <v>617216</v>
      </c>
      <c r="G6" s="85">
        <f>D6-J6</f>
        <v>588644.0700000003</v>
      </c>
      <c r="H6" s="357">
        <f>G6*100/F6</f>
        <v>95.37083776182087</v>
      </c>
      <c r="I6" s="139">
        <f>WYDATKI!K12</f>
        <v>3771718</v>
      </c>
      <c r="J6" s="283">
        <f>WYDATKI!L12</f>
        <v>3459095.86</v>
      </c>
      <c r="K6" s="357">
        <f>J6*100/I6</f>
        <v>91.71141267719379</v>
      </c>
    </row>
    <row r="7" spans="1:11" ht="12.75">
      <c r="A7" s="335" t="s">
        <v>32</v>
      </c>
      <c r="B7" s="79" t="s">
        <v>82</v>
      </c>
      <c r="C7" s="80">
        <f>WYDATKI!E23</f>
        <v>9318</v>
      </c>
      <c r="D7" s="81">
        <f>WYDATKI!F23</f>
        <v>9300.91</v>
      </c>
      <c r="E7" s="82">
        <f aca="true" t="shared" si="0" ref="E7:E20">D7*100/C7</f>
        <v>99.81659154324963</v>
      </c>
      <c r="F7" s="80">
        <f>C7-I7</f>
        <v>9318</v>
      </c>
      <c r="G7" s="81">
        <f aca="true" t="shared" si="1" ref="G7:G26">D7-J7</f>
        <v>9300.91</v>
      </c>
      <c r="H7" s="358">
        <f aca="true" t="shared" si="2" ref="H7:H27">G7*100/F7</f>
        <v>99.81659154324963</v>
      </c>
      <c r="I7" s="83"/>
      <c r="J7" s="284"/>
      <c r="K7" s="357"/>
    </row>
    <row r="8" spans="1:11" ht="12.75">
      <c r="A8" s="335">
        <v>600</v>
      </c>
      <c r="B8" s="79" t="s">
        <v>161</v>
      </c>
      <c r="C8" s="80">
        <f>WYDATKI!E26</f>
        <v>18904204</v>
      </c>
      <c r="D8" s="81">
        <f>WYDATKI!F26</f>
        <v>18281429.130000003</v>
      </c>
      <c r="E8" s="82">
        <f t="shared" si="0"/>
        <v>96.7056276476915</v>
      </c>
      <c r="F8" s="80">
        <f>WYDATKI!H26</f>
        <v>9840375</v>
      </c>
      <c r="G8" s="297">
        <f>WYDATKI!I26</f>
        <v>9570801.83</v>
      </c>
      <c r="H8" s="358">
        <f>WYDATKI!J26</f>
        <v>97.26053966439287</v>
      </c>
      <c r="I8" s="80">
        <f>WYDATKI!K26</f>
        <v>9063829</v>
      </c>
      <c r="J8" s="298">
        <f>WYDATKI!L26</f>
        <v>8710627.3</v>
      </c>
      <c r="K8" s="357">
        <f>WYDATKI!M26</f>
        <v>96.10317339393761</v>
      </c>
    </row>
    <row r="9" spans="1:11" ht="12.75">
      <c r="A9" s="335">
        <v>630</v>
      </c>
      <c r="B9" s="79" t="s">
        <v>156</v>
      </c>
      <c r="C9" s="80">
        <f>WYDATKI!E46</f>
        <v>42500</v>
      </c>
      <c r="D9" s="81">
        <f>WYDATKI!F46</f>
        <v>40000</v>
      </c>
      <c r="E9" s="82">
        <f t="shared" si="0"/>
        <v>94.11764705882354</v>
      </c>
      <c r="F9" s="80">
        <f aca="true" t="shared" si="3" ref="F9:F26">C9-I9</f>
        <v>40000</v>
      </c>
      <c r="G9" s="81">
        <f t="shared" si="1"/>
        <v>40000</v>
      </c>
      <c r="H9" s="358">
        <f t="shared" si="2"/>
        <v>100</v>
      </c>
      <c r="I9" s="80">
        <f>WYDATKI!K46</f>
        <v>2500</v>
      </c>
      <c r="J9" s="298">
        <v>0</v>
      </c>
      <c r="K9" s="357">
        <f>WYDATKI!M27</f>
        <v>0</v>
      </c>
    </row>
    <row r="10" spans="1:11" ht="12.75">
      <c r="A10" s="335">
        <v>700</v>
      </c>
      <c r="B10" s="79" t="s">
        <v>21</v>
      </c>
      <c r="C10" s="80">
        <f>WYDATKI!E52</f>
        <v>8808380</v>
      </c>
      <c r="D10" s="81">
        <f>WYDATKI!F52</f>
        <v>7932902.66</v>
      </c>
      <c r="E10" s="82">
        <f t="shared" si="0"/>
        <v>90.06085863688897</v>
      </c>
      <c r="F10" s="80">
        <f t="shared" si="3"/>
        <v>5458556</v>
      </c>
      <c r="G10" s="81">
        <f t="shared" si="1"/>
        <v>4873703.33</v>
      </c>
      <c r="H10" s="358">
        <f t="shared" si="2"/>
        <v>89.28557900660907</v>
      </c>
      <c r="I10" s="80">
        <f>WYDATKI!K52</f>
        <v>3349824</v>
      </c>
      <c r="J10" s="284">
        <f>WYDATKI!L52</f>
        <v>3059199.33</v>
      </c>
      <c r="K10" s="357">
        <f>J10*100/I10</f>
        <v>91.32418091219121</v>
      </c>
    </row>
    <row r="11" spans="1:11" ht="12.75">
      <c r="A11" s="335">
        <v>710</v>
      </c>
      <c r="B11" s="79" t="s">
        <v>22</v>
      </c>
      <c r="C11" s="80">
        <f>WYDATKI!E70</f>
        <v>288132</v>
      </c>
      <c r="D11" s="81">
        <f>WYDATKI!F70</f>
        <v>147010.2</v>
      </c>
      <c r="E11" s="82">
        <f t="shared" si="0"/>
        <v>51.02182333097331</v>
      </c>
      <c r="F11" s="80">
        <f t="shared" si="3"/>
        <v>264000</v>
      </c>
      <c r="G11" s="81">
        <f t="shared" si="1"/>
        <v>147010.2</v>
      </c>
      <c r="H11" s="358">
        <f t="shared" si="2"/>
        <v>55.68568181818183</v>
      </c>
      <c r="I11" s="80">
        <f>WYDATKI!K70</f>
        <v>24132</v>
      </c>
      <c r="J11" s="284"/>
      <c r="K11" s="357"/>
    </row>
    <row r="12" spans="1:11" ht="12.75">
      <c r="A12" s="335">
        <v>750</v>
      </c>
      <c r="B12" s="79" t="s">
        <v>23</v>
      </c>
      <c r="C12" s="80">
        <f>WYDATKI!E78</f>
        <v>20996163</v>
      </c>
      <c r="D12" s="81">
        <f>WYDATKI!F78</f>
        <v>20170842.9</v>
      </c>
      <c r="E12" s="82">
        <f t="shared" si="0"/>
        <v>96.06918606985475</v>
      </c>
      <c r="F12" s="80">
        <f t="shared" si="3"/>
        <v>20765935</v>
      </c>
      <c r="G12" s="81">
        <f t="shared" si="1"/>
        <v>19941839.93</v>
      </c>
      <c r="H12" s="358">
        <f t="shared" si="2"/>
        <v>96.03150510680112</v>
      </c>
      <c r="I12" s="80">
        <f>WYDATKI!K78</f>
        <v>230228</v>
      </c>
      <c r="J12" s="284">
        <f>WYDATKI!L78</f>
        <v>229002.97</v>
      </c>
      <c r="K12" s="357">
        <f>J12*100/I12</f>
        <v>99.46790572823463</v>
      </c>
    </row>
    <row r="13" spans="1:11" ht="36">
      <c r="A13" s="335">
        <v>751</v>
      </c>
      <c r="B13" s="79" t="s">
        <v>162</v>
      </c>
      <c r="C13" s="80">
        <f>WYDATKI!E173</f>
        <v>212305</v>
      </c>
      <c r="D13" s="81">
        <f>WYDATKI!F173</f>
        <v>158599.74000000002</v>
      </c>
      <c r="E13" s="82">
        <f t="shared" si="0"/>
        <v>74.70372341678247</v>
      </c>
      <c r="F13" s="80">
        <f t="shared" si="3"/>
        <v>212305</v>
      </c>
      <c r="G13" s="81">
        <f t="shared" si="1"/>
        <v>158599.74000000002</v>
      </c>
      <c r="H13" s="358">
        <f t="shared" si="2"/>
        <v>74.70372341678247</v>
      </c>
      <c r="I13" s="84"/>
      <c r="J13" s="284"/>
      <c r="K13" s="357"/>
    </row>
    <row r="14" spans="1:11" ht="24">
      <c r="A14" s="335">
        <v>754</v>
      </c>
      <c r="B14" s="79" t="s">
        <v>24</v>
      </c>
      <c r="C14" s="80">
        <f>WYDATKI!E184</f>
        <v>1206005</v>
      </c>
      <c r="D14" s="81">
        <f>WYDATKI!F184</f>
        <v>1097150.6400000001</v>
      </c>
      <c r="E14" s="82">
        <f t="shared" si="0"/>
        <v>90.97397108635538</v>
      </c>
      <c r="F14" s="80">
        <f t="shared" si="3"/>
        <v>1026000</v>
      </c>
      <c r="G14" s="81">
        <f t="shared" si="1"/>
        <v>917415.2000000002</v>
      </c>
      <c r="H14" s="358">
        <f t="shared" si="2"/>
        <v>89.41668615984408</v>
      </c>
      <c r="I14" s="80">
        <f>WYDATKI!K184</f>
        <v>180005</v>
      </c>
      <c r="J14" s="284">
        <f>WYDATKI!L184</f>
        <v>179735.44</v>
      </c>
      <c r="K14" s="357">
        <f>J14*100/I14</f>
        <v>99.85024860420543</v>
      </c>
    </row>
    <row r="15" spans="1:11" ht="12.75">
      <c r="A15" s="335">
        <v>757</v>
      </c>
      <c r="B15" s="79" t="s">
        <v>83</v>
      </c>
      <c r="C15" s="80">
        <f>WYDATKI!E210</f>
        <v>2220000</v>
      </c>
      <c r="D15" s="81">
        <f>WYDATKI!F210</f>
        <v>2164954.44</v>
      </c>
      <c r="E15" s="82">
        <f t="shared" si="0"/>
        <v>97.52047027027027</v>
      </c>
      <c r="F15" s="80">
        <f t="shared" si="3"/>
        <v>2220000</v>
      </c>
      <c r="G15" s="81">
        <f t="shared" si="1"/>
        <v>2164954.44</v>
      </c>
      <c r="H15" s="358">
        <f t="shared" si="2"/>
        <v>97.52047027027027</v>
      </c>
      <c r="I15" s="84"/>
      <c r="J15" s="284"/>
      <c r="K15" s="357"/>
    </row>
    <row r="16" spans="1:11" ht="12.75">
      <c r="A16" s="335">
        <v>758</v>
      </c>
      <c r="B16" s="79" t="s">
        <v>25</v>
      </c>
      <c r="C16" s="80">
        <f>WYDATKI!E214</f>
        <v>9684588</v>
      </c>
      <c r="D16" s="81">
        <f>WYDATKI!F214</f>
        <v>9172588</v>
      </c>
      <c r="E16" s="82">
        <f t="shared" si="0"/>
        <v>94.7132495465992</v>
      </c>
      <c r="F16" s="80">
        <f t="shared" si="3"/>
        <v>9684588</v>
      </c>
      <c r="G16" s="81">
        <f t="shared" si="1"/>
        <v>9172588</v>
      </c>
      <c r="H16" s="358">
        <f t="shared" si="2"/>
        <v>94.7132495465992</v>
      </c>
      <c r="I16" s="84"/>
      <c r="J16" s="284"/>
      <c r="K16" s="357"/>
    </row>
    <row r="17" spans="1:11" s="414" customFormat="1" ht="12.75">
      <c r="A17" s="335">
        <v>801</v>
      </c>
      <c r="B17" s="79" t="s">
        <v>26</v>
      </c>
      <c r="C17" s="80">
        <f>WYDATKI!E219</f>
        <v>92486868</v>
      </c>
      <c r="D17" s="81">
        <f>WYDATKI!F219</f>
        <v>90366909.99</v>
      </c>
      <c r="E17" s="82">
        <f t="shared" si="0"/>
        <v>97.707828088632</v>
      </c>
      <c r="F17" s="80">
        <f t="shared" si="3"/>
        <v>88166064</v>
      </c>
      <c r="G17" s="81">
        <f t="shared" si="1"/>
        <v>86415019.13</v>
      </c>
      <c r="H17" s="358">
        <f t="shared" si="2"/>
        <v>98.01392418969729</v>
      </c>
      <c r="I17" s="80">
        <f>WYDATKI!K219</f>
        <v>4320804</v>
      </c>
      <c r="J17" s="284">
        <f>WYDATKI!L219</f>
        <v>3951890.8600000003</v>
      </c>
      <c r="K17" s="357">
        <f>J17*100/I17</f>
        <v>91.46193301061562</v>
      </c>
    </row>
    <row r="18" spans="1:11" ht="12.75">
      <c r="A18" s="335">
        <v>851</v>
      </c>
      <c r="B18" s="79" t="s">
        <v>84</v>
      </c>
      <c r="C18" s="80">
        <f>WYDATKI!E466</f>
        <v>729857</v>
      </c>
      <c r="D18" s="81">
        <f>WYDATKI!F466</f>
        <v>671034.4500000001</v>
      </c>
      <c r="E18" s="82">
        <f t="shared" si="0"/>
        <v>91.94053766696764</v>
      </c>
      <c r="F18" s="80">
        <f t="shared" si="3"/>
        <v>729857</v>
      </c>
      <c r="G18" s="81">
        <f t="shared" si="1"/>
        <v>671034.4500000001</v>
      </c>
      <c r="H18" s="358">
        <f t="shared" si="2"/>
        <v>91.94053766696764</v>
      </c>
      <c r="I18" s="80"/>
      <c r="J18" s="284"/>
      <c r="K18" s="357"/>
    </row>
    <row r="19" spans="1:11" ht="12.75">
      <c r="A19" s="335">
        <v>852</v>
      </c>
      <c r="B19" s="79" t="s">
        <v>147</v>
      </c>
      <c r="C19" s="80">
        <f>WYDATKI!E489</f>
        <v>3443206</v>
      </c>
      <c r="D19" s="81">
        <f>WYDATKI!F489</f>
        <v>3176742.0200000005</v>
      </c>
      <c r="E19" s="82">
        <f t="shared" si="0"/>
        <v>92.26116648263277</v>
      </c>
      <c r="F19" s="80">
        <f t="shared" si="3"/>
        <v>3325627</v>
      </c>
      <c r="G19" s="81">
        <f t="shared" si="1"/>
        <v>3059237.0000000005</v>
      </c>
      <c r="H19" s="358">
        <f t="shared" si="2"/>
        <v>91.98978117509873</v>
      </c>
      <c r="I19" s="81">
        <f>WYDATKI!K489</f>
        <v>117579</v>
      </c>
      <c r="J19" s="81">
        <f>WYDATKI!L489</f>
        <v>117505.02</v>
      </c>
      <c r="K19" s="357">
        <f>J19*100/I19</f>
        <v>99.93708060112775</v>
      </c>
    </row>
    <row r="20" spans="1:11" ht="25.5" customHeight="1">
      <c r="A20" s="335">
        <v>853</v>
      </c>
      <c r="B20" s="79" t="s">
        <v>286</v>
      </c>
      <c r="C20" s="80">
        <f>WYDATKI!E539</f>
        <v>44800</v>
      </c>
      <c r="D20" s="81">
        <f>WYDATKI!F539</f>
        <v>37493.8</v>
      </c>
      <c r="E20" s="82">
        <f t="shared" si="0"/>
        <v>83.69151785714287</v>
      </c>
      <c r="F20" s="80">
        <f t="shared" si="3"/>
        <v>44800</v>
      </c>
      <c r="G20" s="81">
        <f t="shared" si="1"/>
        <v>37493.8</v>
      </c>
      <c r="H20" s="358"/>
      <c r="I20" s="81"/>
      <c r="J20" s="284"/>
      <c r="K20" s="357"/>
    </row>
    <row r="21" spans="1:11" ht="12.75">
      <c r="A21" s="335">
        <v>854</v>
      </c>
      <c r="B21" s="79" t="s">
        <v>27</v>
      </c>
      <c r="C21" s="80">
        <f>WYDATKI!E546</f>
        <v>4868389</v>
      </c>
      <c r="D21" s="81">
        <f>WYDATKI!F546</f>
        <v>4791872.480000001</v>
      </c>
      <c r="E21" s="82">
        <f aca="true" t="shared" si="4" ref="E21:E27">D21*100/C21</f>
        <v>98.4282989711792</v>
      </c>
      <c r="F21" s="80">
        <f>C21-I21</f>
        <v>4868389</v>
      </c>
      <c r="G21" s="81">
        <f t="shared" si="1"/>
        <v>4791872.480000001</v>
      </c>
      <c r="H21" s="358">
        <f t="shared" si="2"/>
        <v>98.4282989711792</v>
      </c>
      <c r="I21" s="84"/>
      <c r="J21" s="284"/>
      <c r="K21" s="357"/>
    </row>
    <row r="22" spans="1:11" ht="12.75">
      <c r="A22" s="335">
        <v>855</v>
      </c>
      <c r="B22" s="79" t="s">
        <v>255</v>
      </c>
      <c r="C22" s="80">
        <f>WYDATKI!E573</f>
        <v>26385726</v>
      </c>
      <c r="D22" s="81">
        <f>WYDATKI!F573</f>
        <v>26339778.580000002</v>
      </c>
      <c r="E22" s="82">
        <f t="shared" si="4"/>
        <v>99.82586258949252</v>
      </c>
      <c r="F22" s="80">
        <f>C22-I22</f>
        <v>26385726</v>
      </c>
      <c r="G22" s="81">
        <f t="shared" si="1"/>
        <v>26339778.580000002</v>
      </c>
      <c r="H22" s="358">
        <f t="shared" si="2"/>
        <v>99.82586258949252</v>
      </c>
      <c r="I22" s="84"/>
      <c r="J22" s="284"/>
      <c r="K22" s="357"/>
    </row>
    <row r="23" spans="1:11" ht="24">
      <c r="A23" s="335">
        <v>900</v>
      </c>
      <c r="B23" s="79" t="s">
        <v>28</v>
      </c>
      <c r="C23" s="80">
        <f>WYDATKI!E635</f>
        <v>11895497</v>
      </c>
      <c r="D23" s="81">
        <f>WYDATKI!F635</f>
        <v>10807249.45</v>
      </c>
      <c r="E23" s="82">
        <f t="shared" si="4"/>
        <v>90.8516008200414</v>
      </c>
      <c r="F23" s="80">
        <f t="shared" si="3"/>
        <v>11588206</v>
      </c>
      <c r="G23" s="81">
        <f t="shared" si="1"/>
        <v>10500979.45</v>
      </c>
      <c r="H23" s="358">
        <f t="shared" si="2"/>
        <v>90.61781823692122</v>
      </c>
      <c r="I23" s="80">
        <f>WYDATKI!K635</f>
        <v>307291</v>
      </c>
      <c r="J23" s="284">
        <f>WYDATKI!L635</f>
        <v>306270</v>
      </c>
      <c r="K23" s="357">
        <f>J23*100/I23</f>
        <v>99.66774165204968</v>
      </c>
    </row>
    <row r="24" spans="1:11" ht="24">
      <c r="A24" s="335">
        <v>921</v>
      </c>
      <c r="B24" s="79" t="s">
        <v>85</v>
      </c>
      <c r="C24" s="80">
        <f>WYDATKI!E690</f>
        <v>4900000</v>
      </c>
      <c r="D24" s="81">
        <f>WYDATKI!F690</f>
        <v>4877371</v>
      </c>
      <c r="E24" s="82">
        <f t="shared" si="4"/>
        <v>99.53818367346939</v>
      </c>
      <c r="F24" s="80">
        <f t="shared" si="3"/>
        <v>4850000</v>
      </c>
      <c r="G24" s="81">
        <f t="shared" si="1"/>
        <v>4841960</v>
      </c>
      <c r="H24" s="358">
        <f t="shared" si="2"/>
        <v>99.83422680412372</v>
      </c>
      <c r="I24" s="80">
        <f>WYDATKI!K690</f>
        <v>50000</v>
      </c>
      <c r="J24" s="81">
        <f>WYDATKI!L690</f>
        <v>35411</v>
      </c>
      <c r="K24" s="81">
        <f>WYDATKI!M690</f>
        <v>70.822</v>
      </c>
    </row>
    <row r="25" spans="1:11" ht="39.75" customHeight="1">
      <c r="A25" s="336">
        <v>925</v>
      </c>
      <c r="B25" s="79" t="s">
        <v>287</v>
      </c>
      <c r="C25" s="77">
        <f>WYDATKI!E701</f>
        <v>10000</v>
      </c>
      <c r="D25" s="87">
        <f>WYDATKI!F701</f>
        <v>9960</v>
      </c>
      <c r="E25" s="82">
        <f t="shared" si="4"/>
        <v>99.6</v>
      </c>
      <c r="F25" s="80">
        <f t="shared" si="3"/>
        <v>10000</v>
      </c>
      <c r="G25" s="81">
        <f t="shared" si="1"/>
        <v>9960</v>
      </c>
      <c r="H25" s="358">
        <f t="shared" si="2"/>
        <v>99.6</v>
      </c>
      <c r="I25" s="77"/>
      <c r="J25" s="219"/>
      <c r="K25" s="357"/>
    </row>
    <row r="26" spans="1:11" ht="13.5" thickBot="1">
      <c r="A26" s="336">
        <v>926</v>
      </c>
      <c r="B26" s="86" t="s">
        <v>86</v>
      </c>
      <c r="C26" s="77">
        <f>WYDATKI!E704</f>
        <v>7180908</v>
      </c>
      <c r="D26" s="87">
        <f>WYDATKI!F704</f>
        <v>7166995.05</v>
      </c>
      <c r="E26" s="88">
        <f t="shared" si="4"/>
        <v>99.80625082510457</v>
      </c>
      <c r="F26" s="80">
        <f t="shared" si="3"/>
        <v>6587008</v>
      </c>
      <c r="G26" s="87">
        <f t="shared" si="1"/>
        <v>6574187.05</v>
      </c>
      <c r="H26" s="359">
        <f t="shared" si="2"/>
        <v>99.80536003599813</v>
      </c>
      <c r="I26" s="77">
        <f>WYDATKI!K704</f>
        <v>593900</v>
      </c>
      <c r="J26" s="219">
        <f>WYDATKI!L704</f>
        <v>592808</v>
      </c>
      <c r="K26" s="357">
        <f>J26*100/I26</f>
        <v>99.81613066172757</v>
      </c>
    </row>
    <row r="27" spans="1:11" s="4" customFormat="1" ht="13.5" thickBot="1">
      <c r="A27" s="337"/>
      <c r="B27" s="22" t="s">
        <v>88</v>
      </c>
      <c r="C27" s="27">
        <f>SUM(C6:C26)</f>
        <v>218705780</v>
      </c>
      <c r="D27" s="28">
        <f>SUM(D6:D26)</f>
        <v>211467925.37</v>
      </c>
      <c r="E27" s="89">
        <f t="shared" si="4"/>
        <v>96.69059746386218</v>
      </c>
      <c r="F27" s="50">
        <f>SUM(F6:F26)</f>
        <v>196693970</v>
      </c>
      <c r="G27" s="23">
        <f>SUM(G6:G26)</f>
        <v>190826379.59</v>
      </c>
      <c r="H27" s="89">
        <f t="shared" si="2"/>
        <v>97.0168935987209</v>
      </c>
      <c r="I27" s="27">
        <f>SUM(I6:I26)</f>
        <v>22011810</v>
      </c>
      <c r="J27" s="28">
        <f>SUM(J6:J26)</f>
        <v>20641545.78</v>
      </c>
      <c r="K27" s="131">
        <f>J27*100/I27</f>
        <v>93.77486803674937</v>
      </c>
    </row>
    <row r="28" spans="1:11" ht="12.75">
      <c r="A28" s="24"/>
      <c r="B28" s="24"/>
      <c r="C28" s="24"/>
      <c r="D28" s="24"/>
      <c r="E28" s="24"/>
      <c r="F28" s="90"/>
      <c r="G28" s="90"/>
      <c r="H28" s="90"/>
      <c r="I28" s="24"/>
      <c r="J28" s="24"/>
      <c r="K28" s="24"/>
    </row>
    <row r="29" spans="1:11" ht="12.75">
      <c r="A29" s="24"/>
      <c r="B29" s="24"/>
      <c r="C29" s="24"/>
      <c r="D29" s="24"/>
      <c r="E29" s="24"/>
      <c r="F29" s="90"/>
      <c r="G29" s="90"/>
      <c r="H29" s="90"/>
      <c r="I29" s="24"/>
      <c r="J29" s="24"/>
      <c r="K29" s="24"/>
    </row>
    <row r="30" spans="1:11" ht="12.75">
      <c r="A30" s="24"/>
      <c r="B30" s="24"/>
      <c r="C30" s="24"/>
      <c r="D30" s="24"/>
      <c r="E30" s="24"/>
      <c r="F30" s="90"/>
      <c r="G30" s="215"/>
      <c r="H30" s="90"/>
      <c r="I30" s="24"/>
      <c r="J30" s="24"/>
      <c r="K30" s="24"/>
    </row>
    <row r="31" spans="1:11" ht="12.75">
      <c r="A31" s="24"/>
      <c r="B31" s="24"/>
      <c r="C31" s="24"/>
      <c r="D31" s="24"/>
      <c r="E31" s="24"/>
      <c r="F31" s="90"/>
      <c r="G31" s="97"/>
      <c r="H31" s="90"/>
      <c r="I31" s="24"/>
      <c r="J31" s="24"/>
      <c r="K31" s="24"/>
    </row>
    <row r="32" spans="1:11" ht="48" customHeight="1">
      <c r="A32" s="24"/>
      <c r="B32" s="24"/>
      <c r="C32" s="24"/>
      <c r="D32" s="24"/>
      <c r="E32" s="24"/>
      <c r="F32" s="90"/>
      <c r="G32" s="90"/>
      <c r="H32" s="90"/>
      <c r="I32" s="24"/>
      <c r="J32" s="24"/>
      <c r="K32" s="24"/>
    </row>
    <row r="33" spans="1:11" ht="78" customHeight="1">
      <c r="A33" s="24"/>
      <c r="B33" s="24"/>
      <c r="C33" s="24"/>
      <c r="D33" s="24"/>
      <c r="E33" s="24"/>
      <c r="F33" s="90"/>
      <c r="G33" s="90"/>
      <c r="H33" s="90"/>
      <c r="I33" s="24"/>
      <c r="J33" s="24"/>
      <c r="K33" s="24"/>
    </row>
    <row r="34" spans="1:11" ht="12.75">
      <c r="A34" s="24"/>
      <c r="B34" s="24"/>
      <c r="C34" s="24"/>
      <c r="D34" s="24"/>
      <c r="E34" s="24"/>
      <c r="F34" s="90"/>
      <c r="G34" s="90"/>
      <c r="H34" s="90"/>
      <c r="I34" s="24"/>
      <c r="J34" s="24"/>
      <c r="K34" s="24"/>
    </row>
    <row r="35" spans="1:11" ht="27.75" customHeight="1">
      <c r="A35" s="24"/>
      <c r="B35" s="24"/>
      <c r="C35" s="24"/>
      <c r="D35" s="24"/>
      <c r="E35" s="24"/>
      <c r="F35" s="90"/>
      <c r="G35" s="90"/>
      <c r="H35" s="90"/>
      <c r="I35" s="24"/>
      <c r="J35" s="24"/>
      <c r="K35" s="24"/>
    </row>
    <row r="36" spans="1:11" ht="12.75">
      <c r="A36" s="24"/>
      <c r="B36" s="24"/>
      <c r="C36" s="91"/>
      <c r="D36" s="92"/>
      <c r="E36" s="24"/>
      <c r="F36" s="93"/>
      <c r="G36" s="93"/>
      <c r="H36" s="93"/>
      <c r="I36" s="93"/>
      <c r="J36" s="93"/>
      <c r="K36" s="93"/>
    </row>
    <row r="37" spans="6:8" ht="12.75">
      <c r="F37" s="15"/>
      <c r="G37" s="15"/>
      <c r="H37" s="15"/>
    </row>
    <row r="38" spans="6:8" ht="12.75">
      <c r="F38" s="15"/>
      <c r="G38" s="15"/>
      <c r="H38" s="15"/>
    </row>
    <row r="39" spans="6:8" ht="12.75">
      <c r="F39" s="15"/>
      <c r="G39" s="15"/>
      <c r="H39" s="15"/>
    </row>
    <row r="40" spans="6:8" ht="12.75">
      <c r="F40" s="15"/>
      <c r="G40" s="15"/>
      <c r="H40" s="15"/>
    </row>
    <row r="41" spans="6:8" ht="12.75">
      <c r="F41" s="15"/>
      <c r="G41" s="15"/>
      <c r="H41" s="15"/>
    </row>
    <row r="42" spans="6:8" ht="12.75">
      <c r="F42" s="15"/>
      <c r="G42" s="15"/>
      <c r="H42" s="15"/>
    </row>
    <row r="43" spans="6:8" ht="12.75">
      <c r="F43" s="15"/>
      <c r="G43" s="15"/>
      <c r="H43" s="15"/>
    </row>
    <row r="44" spans="6:8" ht="12.75">
      <c r="F44" s="15"/>
      <c r="G44" s="15"/>
      <c r="H44" s="15"/>
    </row>
    <row r="45" spans="6:8" ht="12.75">
      <c r="F45" s="15"/>
      <c r="G45" s="15"/>
      <c r="H45" s="15"/>
    </row>
    <row r="46" spans="6:8" ht="12.75">
      <c r="F46" s="15"/>
      <c r="G46" s="15"/>
      <c r="H46" s="15"/>
    </row>
    <row r="47" spans="6:8" ht="12.75">
      <c r="F47" s="15"/>
      <c r="G47" s="15"/>
      <c r="H47" s="15"/>
    </row>
    <row r="48" spans="6:8" ht="12.75">
      <c r="F48" s="15"/>
      <c r="G48" s="15"/>
      <c r="H48" s="15"/>
    </row>
    <row r="49" spans="6:8" ht="12.75">
      <c r="F49" s="15"/>
      <c r="G49" s="15"/>
      <c r="H49" s="15"/>
    </row>
    <row r="50" spans="6:8" ht="12.75">
      <c r="F50" s="15"/>
      <c r="G50" s="15"/>
      <c r="H50" s="15"/>
    </row>
    <row r="51" spans="6:8" ht="12.75">
      <c r="F51" s="15"/>
      <c r="G51" s="15"/>
      <c r="H51" s="15"/>
    </row>
    <row r="52" spans="6:8" ht="12.75">
      <c r="F52" s="15"/>
      <c r="G52" s="15"/>
      <c r="H52" s="15"/>
    </row>
    <row r="53" spans="6:8" ht="12.75">
      <c r="F53" s="15"/>
      <c r="G53" s="15"/>
      <c r="H53" s="15"/>
    </row>
    <row r="54" spans="6:8" ht="12.75">
      <c r="F54" s="15"/>
      <c r="G54" s="15"/>
      <c r="H54" s="15"/>
    </row>
    <row r="55" spans="6:8" ht="12.75">
      <c r="F55" s="15"/>
      <c r="G55" s="15"/>
      <c r="H55" s="15"/>
    </row>
    <row r="56" spans="6:8" ht="12.75">
      <c r="F56" s="15"/>
      <c r="G56" s="15"/>
      <c r="H56" s="15"/>
    </row>
    <row r="57" spans="6:8" ht="12.75">
      <c r="F57" s="15"/>
      <c r="G57" s="15"/>
      <c r="H57" s="15"/>
    </row>
    <row r="58" spans="6:8" ht="12.75">
      <c r="F58" s="15"/>
      <c r="G58" s="15"/>
      <c r="H58" s="15"/>
    </row>
    <row r="59" spans="6:8" ht="12.75">
      <c r="F59" s="15"/>
      <c r="G59" s="15"/>
      <c r="H59" s="15"/>
    </row>
    <row r="60" spans="6:8" ht="12.75">
      <c r="F60" s="15"/>
      <c r="G60" s="15"/>
      <c r="H60" s="15"/>
    </row>
    <row r="61" spans="6:8" ht="12.75">
      <c r="F61" s="15"/>
      <c r="G61" s="15"/>
      <c r="H61" s="15"/>
    </row>
    <row r="62" spans="6:8" ht="12.75">
      <c r="F62" s="15"/>
      <c r="G62" s="15"/>
      <c r="H62" s="15"/>
    </row>
    <row r="63" spans="6:8" ht="12.75">
      <c r="F63" s="15"/>
      <c r="G63" s="15"/>
      <c r="H63" s="15"/>
    </row>
    <row r="64" spans="6:8" ht="12.75">
      <c r="F64" s="15"/>
      <c r="G64" s="15"/>
      <c r="H64" s="15"/>
    </row>
    <row r="65" spans="6:8" ht="12.75">
      <c r="F65" s="15"/>
      <c r="G65" s="15"/>
      <c r="H65" s="15"/>
    </row>
    <row r="66" spans="6:8" ht="12.75">
      <c r="F66" s="15"/>
      <c r="G66" s="15"/>
      <c r="H66" s="15"/>
    </row>
  </sheetData>
  <sheetProtection/>
  <mergeCells count="7">
    <mergeCell ref="A2:H2"/>
    <mergeCell ref="A1:K1"/>
    <mergeCell ref="B3:B4"/>
    <mergeCell ref="A3:A4"/>
    <mergeCell ref="C3:E3"/>
    <mergeCell ref="I3:K3"/>
    <mergeCell ref="F3:H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4"/>
  <sheetViews>
    <sheetView tabSelected="1" view="pageBreakPreview" zoomScaleSheetLayoutView="100" zoomScalePageLayoutView="0" workbookViewId="0" topLeftCell="A707">
      <selection activeCell="N147" sqref="N144:X147"/>
    </sheetView>
  </sheetViews>
  <sheetFormatPr defaultColWidth="9.00390625" defaultRowHeight="12.75"/>
  <cols>
    <col min="1" max="1" width="3.875" style="1" customWidth="1"/>
    <col min="2" max="2" width="5.875" style="1" customWidth="1"/>
    <col min="3" max="3" width="4.625" style="1" customWidth="1"/>
    <col min="4" max="4" width="35.00390625" style="1" customWidth="1"/>
    <col min="5" max="5" width="12.75390625" style="5" customWidth="1"/>
    <col min="6" max="6" width="13.25390625" style="14" customWidth="1"/>
    <col min="7" max="7" width="6.25390625" style="170" customWidth="1"/>
    <col min="8" max="8" width="14.00390625" style="5" customWidth="1"/>
    <col min="9" max="9" width="13.375" style="14" customWidth="1"/>
    <col min="10" max="10" width="6.25390625" style="170" customWidth="1"/>
    <col min="11" max="11" width="12.25390625" style="5" customWidth="1"/>
    <col min="12" max="12" width="12.125" style="14" customWidth="1"/>
    <col min="13" max="13" width="6.375" style="170" customWidth="1"/>
    <col min="14" max="16384" width="9.125" style="1" customWidth="1"/>
  </cols>
  <sheetData>
    <row r="1" spans="1:13" ht="15.75">
      <c r="A1" s="24"/>
      <c r="B1" s="24"/>
      <c r="C1" s="24"/>
      <c r="D1" s="100"/>
      <c r="E1" s="238"/>
      <c r="F1" s="183"/>
      <c r="G1" s="149"/>
      <c r="H1" s="256"/>
      <c r="I1" s="238" t="s">
        <v>187</v>
      </c>
      <c r="J1" s="149"/>
      <c r="K1" s="256"/>
      <c r="L1" s="183"/>
      <c r="M1" s="370"/>
    </row>
    <row r="2" spans="1:13" ht="6" customHeight="1">
      <c r="A2" s="24"/>
      <c r="B2" s="24"/>
      <c r="C2" s="24"/>
      <c r="D2" s="52"/>
      <c r="E2" s="231"/>
      <c r="F2" s="184"/>
      <c r="G2" s="150"/>
      <c r="H2" s="231"/>
      <c r="I2" s="231"/>
      <c r="J2" s="150"/>
      <c r="K2" s="231"/>
      <c r="L2" s="184"/>
      <c r="M2" s="371"/>
    </row>
    <row r="3" spans="1:13" ht="12.75">
      <c r="A3" s="24"/>
      <c r="B3" s="24"/>
      <c r="C3" s="24"/>
      <c r="D3" s="52"/>
      <c r="E3" s="231"/>
      <c r="F3" s="184"/>
      <c r="G3" s="150"/>
      <c r="H3" s="231"/>
      <c r="I3" s="231" t="s">
        <v>300</v>
      </c>
      <c r="J3" s="150"/>
      <c r="K3" s="231"/>
      <c r="L3" s="184"/>
      <c r="M3" s="371"/>
    </row>
    <row r="4" spans="1:13" ht="12.75">
      <c r="A4" s="24"/>
      <c r="B4" s="24"/>
      <c r="C4" s="24"/>
      <c r="D4" s="52"/>
      <c r="E4" s="231"/>
      <c r="F4" s="184"/>
      <c r="G4" s="150"/>
      <c r="H4" s="231"/>
      <c r="I4" s="231" t="s">
        <v>130</v>
      </c>
      <c r="J4" s="150"/>
      <c r="K4" s="232"/>
      <c r="L4" s="184"/>
      <c r="M4" s="371"/>
    </row>
    <row r="5" spans="1:13" ht="12.75">
      <c r="A5" s="24"/>
      <c r="B5" s="24"/>
      <c r="C5" s="24"/>
      <c r="D5" s="52"/>
      <c r="E5" s="231"/>
      <c r="F5" s="184"/>
      <c r="G5" s="150"/>
      <c r="H5" s="231"/>
      <c r="I5" s="231" t="s">
        <v>301</v>
      </c>
      <c r="J5" s="150"/>
      <c r="K5" s="232"/>
      <c r="L5" s="184"/>
      <c r="M5" s="371"/>
    </row>
    <row r="6" spans="1:13" ht="6.75" customHeight="1">
      <c r="A6" s="24"/>
      <c r="B6" s="24"/>
      <c r="C6" s="24"/>
      <c r="D6" s="24"/>
      <c r="E6" s="222"/>
      <c r="F6" s="92"/>
      <c r="G6" s="151"/>
      <c r="H6" s="222"/>
      <c r="I6" s="92"/>
      <c r="J6" s="151"/>
      <c r="K6" s="223"/>
      <c r="L6" s="92"/>
      <c r="M6" s="369"/>
    </row>
    <row r="7" spans="1:13" ht="31.5" customHeight="1">
      <c r="A7" s="843" t="s">
        <v>295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</row>
    <row r="8" spans="1:13" ht="6.75" customHeight="1">
      <c r="A8" s="55"/>
      <c r="B8" s="55"/>
      <c r="C8" s="55"/>
      <c r="D8" s="55"/>
      <c r="E8" s="239"/>
      <c r="F8" s="185"/>
      <c r="G8" s="152"/>
      <c r="H8" s="239"/>
      <c r="I8" s="185"/>
      <c r="J8" s="152"/>
      <c r="K8" s="239"/>
      <c r="L8" s="185"/>
      <c r="M8" s="372"/>
    </row>
    <row r="9" spans="1:13" ht="12.75">
      <c r="A9" s="847" t="s">
        <v>94</v>
      </c>
      <c r="B9" s="847"/>
      <c r="C9" s="847"/>
      <c r="D9" s="847" t="s">
        <v>96</v>
      </c>
      <c r="E9" s="848" t="s">
        <v>127</v>
      </c>
      <c r="F9" s="850" t="s">
        <v>128</v>
      </c>
      <c r="G9" s="852" t="s">
        <v>129</v>
      </c>
      <c r="H9" s="854" t="s">
        <v>148</v>
      </c>
      <c r="I9" s="854"/>
      <c r="J9" s="854"/>
      <c r="K9" s="847" t="s">
        <v>152</v>
      </c>
      <c r="L9" s="847"/>
      <c r="M9" s="847"/>
    </row>
    <row r="10" spans="1:13" ht="21">
      <c r="A10" s="99" t="s">
        <v>95</v>
      </c>
      <c r="B10" s="99" t="s">
        <v>126</v>
      </c>
      <c r="C10" s="99" t="s">
        <v>97</v>
      </c>
      <c r="D10" s="847"/>
      <c r="E10" s="849"/>
      <c r="F10" s="851"/>
      <c r="G10" s="853"/>
      <c r="H10" s="257" t="s">
        <v>168</v>
      </c>
      <c r="I10" s="208" t="s">
        <v>169</v>
      </c>
      <c r="J10" s="153" t="s">
        <v>129</v>
      </c>
      <c r="K10" s="257" t="s">
        <v>168</v>
      </c>
      <c r="L10" s="208" t="s">
        <v>169</v>
      </c>
      <c r="M10" s="153" t="s">
        <v>129</v>
      </c>
    </row>
    <row r="11" spans="1:13" ht="12.75">
      <c r="A11" s="140">
        <v>1</v>
      </c>
      <c r="B11" s="140">
        <v>2</v>
      </c>
      <c r="C11" s="140">
        <v>3</v>
      </c>
      <c r="D11" s="140">
        <v>4</v>
      </c>
      <c r="E11" s="500">
        <v>5</v>
      </c>
      <c r="F11" s="500">
        <v>6</v>
      </c>
      <c r="G11" s="500">
        <v>7</v>
      </c>
      <c r="H11" s="500">
        <v>8</v>
      </c>
      <c r="I11" s="500">
        <v>9</v>
      </c>
      <c r="J11" s="500">
        <v>10</v>
      </c>
      <c r="K11" s="500">
        <v>11</v>
      </c>
      <c r="L11" s="500">
        <v>12</v>
      </c>
      <c r="M11" s="500">
        <v>13</v>
      </c>
    </row>
    <row r="12" spans="1:13" ht="18" customHeight="1">
      <c r="A12" s="101" t="s">
        <v>1</v>
      </c>
      <c r="B12" s="66"/>
      <c r="C12" s="101"/>
      <c r="D12" s="67" t="s">
        <v>4</v>
      </c>
      <c r="E12" s="68">
        <f>SUM(E13,E15,E18,E20)</f>
        <v>4388934</v>
      </c>
      <c r="F12" s="69">
        <f>SUM(F13,F15,F18,F20)</f>
        <v>4047739.93</v>
      </c>
      <c r="G12" s="154">
        <f aca="true" t="shared" si="0" ref="G12:G17">F12*100/E12</f>
        <v>92.22603780325701</v>
      </c>
      <c r="H12" s="68">
        <f>SUM(H13,H15,H18,H20)</f>
        <v>617216</v>
      </c>
      <c r="I12" s="69">
        <f>SUM(I18,I15,I20,I13)</f>
        <v>588644.0700000001</v>
      </c>
      <c r="J12" s="154">
        <f>I12*100/H12</f>
        <v>95.37083776182084</v>
      </c>
      <c r="K12" s="68">
        <f>SUM(K18,K15,K20)</f>
        <v>3771718</v>
      </c>
      <c r="L12" s="69">
        <f>SUM(L18,L15,L20)</f>
        <v>3459095.86</v>
      </c>
      <c r="M12" s="154">
        <f>L12*100/K12</f>
        <v>91.71141267719379</v>
      </c>
    </row>
    <row r="13" spans="1:13" ht="15.75" customHeight="1">
      <c r="A13" s="106"/>
      <c r="B13" s="106" t="s">
        <v>174</v>
      </c>
      <c r="C13" s="107"/>
      <c r="D13" s="240" t="s">
        <v>175</v>
      </c>
      <c r="E13" s="240">
        <f>E14</f>
        <v>400000</v>
      </c>
      <c r="F13" s="108">
        <f>F14</f>
        <v>400000</v>
      </c>
      <c r="G13" s="240">
        <f t="shared" si="0"/>
        <v>100</v>
      </c>
      <c r="H13" s="240">
        <f>E13</f>
        <v>400000</v>
      </c>
      <c r="I13" s="292">
        <f>I14</f>
        <v>400000</v>
      </c>
      <c r="J13" s="291">
        <f>I13*100/H13</f>
        <v>100</v>
      </c>
      <c r="K13" s="108"/>
      <c r="L13" s="156"/>
      <c r="M13" s="106"/>
    </row>
    <row r="14" spans="1:13" ht="42">
      <c r="A14" s="102"/>
      <c r="B14" s="103"/>
      <c r="C14" s="73">
        <v>2830</v>
      </c>
      <c r="D14" s="104" t="s">
        <v>176</v>
      </c>
      <c r="E14" s="57">
        <v>400000</v>
      </c>
      <c r="F14" s="26">
        <v>400000</v>
      </c>
      <c r="G14" s="157">
        <f t="shared" si="0"/>
        <v>100</v>
      </c>
      <c r="H14" s="250">
        <f>E14</f>
        <v>400000</v>
      </c>
      <c r="I14" s="35">
        <f>F14</f>
        <v>400000</v>
      </c>
      <c r="J14" s="157">
        <f>I14*100/H14</f>
        <v>100</v>
      </c>
      <c r="K14" s="258"/>
      <c r="L14" s="209"/>
      <c r="M14" s="155"/>
    </row>
    <row r="15" spans="1:13" ht="15" customHeight="1">
      <c r="A15" s="105" t="s">
        <v>98</v>
      </c>
      <c r="B15" s="106" t="s">
        <v>2</v>
      </c>
      <c r="C15" s="106"/>
      <c r="D15" s="107" t="s">
        <v>3</v>
      </c>
      <c r="E15" s="240">
        <f>SUM(E16:E17)</f>
        <v>3921718</v>
      </c>
      <c r="F15" s="108">
        <f>SUM(F16:F17)</f>
        <v>3583375.33</v>
      </c>
      <c r="G15" s="156">
        <f>F15*100/E15</f>
        <v>91.3725905330266</v>
      </c>
      <c r="H15" s="240">
        <f>H16</f>
        <v>150000</v>
      </c>
      <c r="I15" s="240">
        <f>I16</f>
        <v>124279.47</v>
      </c>
      <c r="J15" s="293">
        <f>I15*100/H15</f>
        <v>82.85298</v>
      </c>
      <c r="K15" s="240">
        <f>SUM(K17:K17)</f>
        <v>3771718</v>
      </c>
      <c r="L15" s="108">
        <f>SUM(L17:L17)</f>
        <v>3459095.86</v>
      </c>
      <c r="M15" s="156">
        <f>L15*100/K15</f>
        <v>91.71141267719379</v>
      </c>
    </row>
    <row r="16" spans="1:13" ht="12.75">
      <c r="A16" s="36"/>
      <c r="B16" s="36"/>
      <c r="C16" s="31">
        <v>4300</v>
      </c>
      <c r="D16" s="32" t="s">
        <v>224</v>
      </c>
      <c r="E16" s="241">
        <v>150000</v>
      </c>
      <c r="F16" s="186">
        <v>124279.47</v>
      </c>
      <c r="G16" s="168">
        <f t="shared" si="0"/>
        <v>82.85298</v>
      </c>
      <c r="H16" s="353">
        <f>E16</f>
        <v>150000</v>
      </c>
      <c r="I16" s="352">
        <f>F16</f>
        <v>124279.47</v>
      </c>
      <c r="J16" s="31">
        <f>I16*100/H16</f>
        <v>82.85298</v>
      </c>
      <c r="K16" s="31"/>
      <c r="L16" s="31"/>
      <c r="M16" s="31"/>
    </row>
    <row r="17" spans="1:13" ht="12.75">
      <c r="A17" s="36"/>
      <c r="B17" s="36"/>
      <c r="C17" s="31">
        <v>6050</v>
      </c>
      <c r="D17" s="32" t="s">
        <v>64</v>
      </c>
      <c r="E17" s="241">
        <v>3771718</v>
      </c>
      <c r="F17" s="186">
        <v>3459095.86</v>
      </c>
      <c r="G17" s="177">
        <f t="shared" si="0"/>
        <v>91.71141267719379</v>
      </c>
      <c r="H17" s="246"/>
      <c r="I17" s="20"/>
      <c r="J17" s="296"/>
      <c r="K17" s="246">
        <f>E17</f>
        <v>3771718</v>
      </c>
      <c r="L17" s="20">
        <f>F17</f>
        <v>3459095.86</v>
      </c>
      <c r="M17" s="296">
        <f>L17*100/K17</f>
        <v>91.71141267719379</v>
      </c>
    </row>
    <row r="18" spans="1:13" s="3" customFormat="1" ht="15" customHeight="1">
      <c r="A18" s="105"/>
      <c r="B18" s="106" t="s">
        <v>29</v>
      </c>
      <c r="C18" s="106"/>
      <c r="D18" s="107" t="s">
        <v>30</v>
      </c>
      <c r="E18" s="240">
        <f>SUM(E19)</f>
        <v>8000</v>
      </c>
      <c r="F18" s="108">
        <f>SUM(F19)</f>
        <v>5149.96</v>
      </c>
      <c r="G18" s="156">
        <f aca="true" t="shared" si="1" ref="G18:G25">F18*100/E18</f>
        <v>64.3745</v>
      </c>
      <c r="H18" s="240">
        <f>SUM(H19)</f>
        <v>8000</v>
      </c>
      <c r="I18" s="108">
        <f>SUM(I19)</f>
        <v>5149.96</v>
      </c>
      <c r="J18" s="156">
        <f aca="true" t="shared" si="2" ref="J18:J25">I18*100/H18</f>
        <v>64.3745</v>
      </c>
      <c r="K18" s="240"/>
      <c r="L18" s="108"/>
      <c r="M18" s="156"/>
    </row>
    <row r="19" spans="1:13" ht="21">
      <c r="A19" s="36"/>
      <c r="B19" s="36"/>
      <c r="C19" s="36">
        <v>2850</v>
      </c>
      <c r="D19" s="37" t="s">
        <v>99</v>
      </c>
      <c r="E19" s="242">
        <v>8000</v>
      </c>
      <c r="F19" s="187">
        <v>5149.96</v>
      </c>
      <c r="G19" s="158">
        <f t="shared" si="1"/>
        <v>64.3745</v>
      </c>
      <c r="H19" s="259">
        <f>E19</f>
        <v>8000</v>
      </c>
      <c r="I19" s="187">
        <f>F19</f>
        <v>5149.96</v>
      </c>
      <c r="J19" s="158">
        <f t="shared" si="2"/>
        <v>64.3745</v>
      </c>
      <c r="K19" s="259"/>
      <c r="L19" s="187"/>
      <c r="M19" s="175"/>
    </row>
    <row r="20" spans="1:13" ht="15.75" customHeight="1">
      <c r="A20" s="105" t="s">
        <v>98</v>
      </c>
      <c r="B20" s="106" t="s">
        <v>138</v>
      </c>
      <c r="C20" s="106"/>
      <c r="D20" s="107" t="s">
        <v>6</v>
      </c>
      <c r="E20" s="240">
        <f>SUM(E21:E22)</f>
        <v>59216</v>
      </c>
      <c r="F20" s="108">
        <f>SUM(F21:F22)</f>
        <v>59214.64</v>
      </c>
      <c r="G20" s="156">
        <f t="shared" si="1"/>
        <v>99.9977033234261</v>
      </c>
      <c r="H20" s="240">
        <f>SUM(H21:H22)</f>
        <v>59216</v>
      </c>
      <c r="I20" s="108">
        <f>SUM(I21:I22)</f>
        <v>59214.64</v>
      </c>
      <c r="J20" s="156">
        <f t="shared" si="2"/>
        <v>99.9977033234261</v>
      </c>
      <c r="K20" s="240"/>
      <c r="L20" s="108"/>
      <c r="M20" s="156"/>
    </row>
    <row r="21" spans="1:13" ht="12.75">
      <c r="A21" s="36"/>
      <c r="B21" s="36"/>
      <c r="C21" s="31">
        <v>4210</v>
      </c>
      <c r="D21" s="21" t="s">
        <v>35</v>
      </c>
      <c r="E21" s="241">
        <v>1161</v>
      </c>
      <c r="F21" s="64">
        <v>1161</v>
      </c>
      <c r="G21" s="109">
        <f t="shared" si="1"/>
        <v>100</v>
      </c>
      <c r="H21" s="65">
        <f>E21</f>
        <v>1161</v>
      </c>
      <c r="I21" s="64">
        <f>F21</f>
        <v>1161</v>
      </c>
      <c r="J21" s="109">
        <f t="shared" si="2"/>
        <v>100</v>
      </c>
      <c r="K21" s="65"/>
      <c r="L21" s="64"/>
      <c r="M21" s="168"/>
    </row>
    <row r="22" spans="1:13" ht="12.75">
      <c r="A22" s="36"/>
      <c r="B22" s="36"/>
      <c r="C22" s="31">
        <v>4430</v>
      </c>
      <c r="D22" s="37" t="s">
        <v>118</v>
      </c>
      <c r="E22" s="241">
        <v>58055</v>
      </c>
      <c r="F22" s="64">
        <v>58053.64</v>
      </c>
      <c r="G22" s="109">
        <f t="shared" si="1"/>
        <v>99.99765739385066</v>
      </c>
      <c r="H22" s="65">
        <f>E22</f>
        <v>58055</v>
      </c>
      <c r="I22" s="64">
        <f>F22</f>
        <v>58053.64</v>
      </c>
      <c r="J22" s="109">
        <f t="shared" si="2"/>
        <v>99.99765739385066</v>
      </c>
      <c r="K22" s="65"/>
      <c r="L22" s="64"/>
      <c r="M22" s="168"/>
    </row>
    <row r="23" spans="1:13" s="4" customFormat="1" ht="18" customHeight="1">
      <c r="A23" s="101" t="s">
        <v>32</v>
      </c>
      <c r="B23" s="66"/>
      <c r="C23" s="101"/>
      <c r="D23" s="67" t="s">
        <v>31</v>
      </c>
      <c r="E23" s="68">
        <f>E24</f>
        <v>9318</v>
      </c>
      <c r="F23" s="69">
        <f>F24</f>
        <v>9300.91</v>
      </c>
      <c r="G23" s="154">
        <f t="shared" si="1"/>
        <v>99.81659154324963</v>
      </c>
      <c r="H23" s="68">
        <f>H24</f>
        <v>9318</v>
      </c>
      <c r="I23" s="69">
        <f>I24</f>
        <v>9300.91</v>
      </c>
      <c r="J23" s="154">
        <f t="shared" si="2"/>
        <v>99.81659154324963</v>
      </c>
      <c r="K23" s="68"/>
      <c r="L23" s="69"/>
      <c r="M23" s="154"/>
    </row>
    <row r="24" spans="1:13" s="4" customFormat="1" ht="15.75" customHeight="1">
      <c r="A24" s="110"/>
      <c r="B24" s="111" t="s">
        <v>33</v>
      </c>
      <c r="C24" s="111"/>
      <c r="D24" s="112" t="s">
        <v>6</v>
      </c>
      <c r="E24" s="243">
        <f>E25</f>
        <v>9318</v>
      </c>
      <c r="F24" s="108">
        <f>F25</f>
        <v>9300.91</v>
      </c>
      <c r="G24" s="156">
        <f t="shared" si="1"/>
        <v>99.81659154324963</v>
      </c>
      <c r="H24" s="240">
        <f>H25</f>
        <v>9318</v>
      </c>
      <c r="I24" s="108">
        <f>I25</f>
        <v>9300.91</v>
      </c>
      <c r="J24" s="156">
        <f t="shared" si="2"/>
        <v>99.81659154324963</v>
      </c>
      <c r="K24" s="240"/>
      <c r="L24" s="108"/>
      <c r="M24" s="156"/>
    </row>
    <row r="25" spans="1:13" ht="21">
      <c r="A25" s="36"/>
      <c r="B25" s="36"/>
      <c r="C25" s="36">
        <v>4430</v>
      </c>
      <c r="D25" s="37" t="s">
        <v>106</v>
      </c>
      <c r="E25" s="242">
        <v>9318</v>
      </c>
      <c r="F25" s="187">
        <v>9300.91</v>
      </c>
      <c r="G25" s="158">
        <f t="shared" si="1"/>
        <v>99.81659154324963</v>
      </c>
      <c r="H25" s="259">
        <f>E25</f>
        <v>9318</v>
      </c>
      <c r="I25" s="187">
        <f>F25</f>
        <v>9300.91</v>
      </c>
      <c r="J25" s="158">
        <f t="shared" si="2"/>
        <v>99.81659154324963</v>
      </c>
      <c r="K25" s="259"/>
      <c r="L25" s="187"/>
      <c r="M25" s="175"/>
    </row>
    <row r="26" spans="1:13" ht="18.75" customHeight="1">
      <c r="A26" s="66">
        <v>600</v>
      </c>
      <c r="B26" s="66"/>
      <c r="C26" s="66"/>
      <c r="D26" s="67" t="s">
        <v>8</v>
      </c>
      <c r="E26" s="68">
        <f>E27+E33+E35+E31</f>
        <v>18904204</v>
      </c>
      <c r="F26" s="69">
        <f>F27+F33+F35+F31</f>
        <v>18281429.130000003</v>
      </c>
      <c r="G26" s="154">
        <f>F26*100/E26</f>
        <v>96.7056276476915</v>
      </c>
      <c r="H26" s="68">
        <f>H27+H33+H35+H31</f>
        <v>9840375</v>
      </c>
      <c r="I26" s="69">
        <f>I27+I33+I35+I31</f>
        <v>9570801.83</v>
      </c>
      <c r="J26" s="154">
        <f>I26*100/H26</f>
        <v>97.26053966439287</v>
      </c>
      <c r="K26" s="68">
        <f>K33+K35+K31</f>
        <v>9063829</v>
      </c>
      <c r="L26" s="69">
        <f>L33+L35+L31</f>
        <v>8710627.3</v>
      </c>
      <c r="M26" s="154">
        <f>L26*100/K26</f>
        <v>96.10317339393761</v>
      </c>
    </row>
    <row r="27" spans="1:13" ht="15.75" customHeight="1">
      <c r="A27" s="105"/>
      <c r="B27" s="105">
        <v>60004</v>
      </c>
      <c r="C27" s="105"/>
      <c r="D27" s="107" t="s">
        <v>37</v>
      </c>
      <c r="E27" s="240">
        <f>SUM(E28:E30)</f>
        <v>3905580</v>
      </c>
      <c r="F27" s="108">
        <f>SUM(F28:F30)</f>
        <v>3670846.17</v>
      </c>
      <c r="G27" s="156">
        <f>F27*100/E27</f>
        <v>93.9897830795938</v>
      </c>
      <c r="H27" s="240">
        <f>SUM(H28:H30)</f>
        <v>3905580</v>
      </c>
      <c r="I27" s="108">
        <f>SUM(I28:I30)</f>
        <v>3670846.17</v>
      </c>
      <c r="J27" s="156">
        <f>I27*100/H27</f>
        <v>93.9897830795938</v>
      </c>
      <c r="K27" s="240"/>
      <c r="L27" s="108"/>
      <c r="M27" s="156"/>
    </row>
    <row r="28" spans="1:13" ht="31.5">
      <c r="A28" s="36"/>
      <c r="B28" s="36"/>
      <c r="C28" s="31">
        <v>2310</v>
      </c>
      <c r="D28" s="32" t="s">
        <v>107</v>
      </c>
      <c r="E28" s="241">
        <v>2519040</v>
      </c>
      <c r="F28" s="64">
        <v>2443717</v>
      </c>
      <c r="G28" s="109">
        <f>F28*100/E28</f>
        <v>97.00985295985772</v>
      </c>
      <c r="H28" s="65">
        <f aca="true" t="shared" si="3" ref="H28:I30">E28</f>
        <v>2519040</v>
      </c>
      <c r="I28" s="64">
        <f t="shared" si="3"/>
        <v>2443717</v>
      </c>
      <c r="J28" s="109">
        <f>I28*100/H28</f>
        <v>97.00985295985772</v>
      </c>
      <c r="K28" s="65"/>
      <c r="L28" s="64"/>
      <c r="M28" s="168"/>
    </row>
    <row r="29" spans="1:13" ht="12.75">
      <c r="A29" s="36"/>
      <c r="B29" s="36"/>
      <c r="C29" s="31">
        <v>4270</v>
      </c>
      <c r="D29" s="32" t="s">
        <v>54</v>
      </c>
      <c r="E29" s="241">
        <v>65000</v>
      </c>
      <c r="F29" s="64">
        <v>59676.21</v>
      </c>
      <c r="G29" s="109">
        <f>F29*100/E29</f>
        <v>91.80955384615385</v>
      </c>
      <c r="H29" s="65">
        <f t="shared" si="3"/>
        <v>65000</v>
      </c>
      <c r="I29" s="64">
        <f t="shared" si="3"/>
        <v>59676.21</v>
      </c>
      <c r="J29" s="109">
        <f>I29*100/H29</f>
        <v>91.80955384615385</v>
      </c>
      <c r="K29" s="65"/>
      <c r="L29" s="64"/>
      <c r="M29" s="168"/>
    </row>
    <row r="30" spans="1:13" ht="12.75">
      <c r="A30" s="46"/>
      <c r="B30" s="46"/>
      <c r="C30" s="46">
        <v>4300</v>
      </c>
      <c r="D30" s="94" t="s">
        <v>39</v>
      </c>
      <c r="E30" s="247">
        <v>1321540</v>
      </c>
      <c r="F30" s="187">
        <v>1167452.96</v>
      </c>
      <c r="G30" s="158">
        <f>F30*100/E30</f>
        <v>88.34034232789018</v>
      </c>
      <c r="H30" s="259">
        <f t="shared" si="3"/>
        <v>1321540</v>
      </c>
      <c r="I30" s="187">
        <f t="shared" si="3"/>
        <v>1167452.96</v>
      </c>
      <c r="J30" s="158">
        <f>I30*100/H30</f>
        <v>88.34034232789018</v>
      </c>
      <c r="K30" s="259"/>
      <c r="L30" s="187"/>
      <c r="M30" s="175"/>
    </row>
    <row r="31" spans="1:13" ht="12.75">
      <c r="A31" s="105"/>
      <c r="B31" s="105">
        <v>60013</v>
      </c>
      <c r="C31" s="105"/>
      <c r="D31" s="107" t="s">
        <v>269</v>
      </c>
      <c r="E31" s="240">
        <f>E32</f>
        <v>70000</v>
      </c>
      <c r="F31" s="108">
        <f>F32</f>
        <v>34271</v>
      </c>
      <c r="G31" s="108">
        <f>G32</f>
        <v>48.95857142857143</v>
      </c>
      <c r="H31" s="108"/>
      <c r="I31" s="108"/>
      <c r="J31" s="108"/>
      <c r="K31" s="240">
        <f>K32</f>
        <v>70000</v>
      </c>
      <c r="L31" s="108">
        <f>L32</f>
        <v>34271</v>
      </c>
      <c r="M31" s="108">
        <f>M32</f>
        <v>48.95857142857143</v>
      </c>
    </row>
    <row r="32" spans="1:13" ht="36" customHeight="1">
      <c r="A32" s="36"/>
      <c r="B32" s="36"/>
      <c r="C32" s="36">
        <v>6300</v>
      </c>
      <c r="D32" s="37" t="s">
        <v>185</v>
      </c>
      <c r="E32" s="242">
        <v>70000</v>
      </c>
      <c r="F32" s="191">
        <v>34271</v>
      </c>
      <c r="G32" s="148">
        <f>F32*100/E32</f>
        <v>48.95857142857143</v>
      </c>
      <c r="H32" s="262"/>
      <c r="I32" s="191"/>
      <c r="J32" s="148"/>
      <c r="K32" s="262">
        <v>70000</v>
      </c>
      <c r="L32" s="191">
        <v>34271</v>
      </c>
      <c r="M32" s="179">
        <f>L32*100/K32</f>
        <v>48.95857142857143</v>
      </c>
    </row>
    <row r="33" spans="1:13" ht="12.75">
      <c r="A33" s="105"/>
      <c r="B33" s="105">
        <v>60014</v>
      </c>
      <c r="C33" s="114"/>
      <c r="D33" s="107" t="s">
        <v>196</v>
      </c>
      <c r="E33" s="240">
        <f>E34</f>
        <v>70000</v>
      </c>
      <c r="F33" s="108">
        <f>F34</f>
        <v>67650</v>
      </c>
      <c r="G33" s="156">
        <f aca="true" t="shared" si="4" ref="G33:G54">F33*100/E33</f>
        <v>96.64285714285714</v>
      </c>
      <c r="H33" s="240"/>
      <c r="I33" s="108"/>
      <c r="J33" s="156"/>
      <c r="K33" s="240">
        <f>K34</f>
        <v>70000</v>
      </c>
      <c r="L33" s="108">
        <f>L34</f>
        <v>67650</v>
      </c>
      <c r="M33" s="108">
        <f>M34</f>
        <v>96.64285714285714</v>
      </c>
    </row>
    <row r="34" spans="1:13" ht="12.75">
      <c r="A34" s="41"/>
      <c r="B34" s="41"/>
      <c r="C34" s="41">
        <v>6050</v>
      </c>
      <c r="D34" s="42" t="s">
        <v>210</v>
      </c>
      <c r="E34" s="244">
        <v>70000</v>
      </c>
      <c r="F34" s="188">
        <v>67650</v>
      </c>
      <c r="G34" s="159">
        <f t="shared" si="4"/>
        <v>96.64285714285714</v>
      </c>
      <c r="H34" s="260"/>
      <c r="I34" s="188"/>
      <c r="J34" s="159"/>
      <c r="K34" s="260">
        <f>E34</f>
        <v>70000</v>
      </c>
      <c r="L34" s="188">
        <f>F34</f>
        <v>67650</v>
      </c>
      <c r="M34" s="159">
        <f>L34*100/K34</f>
        <v>96.64285714285714</v>
      </c>
    </row>
    <row r="35" spans="1:13" s="3" customFormat="1" ht="12.75">
      <c r="A35" s="110"/>
      <c r="B35" s="110">
        <v>60016</v>
      </c>
      <c r="C35" s="364"/>
      <c r="D35" s="112" t="s">
        <v>7</v>
      </c>
      <c r="E35" s="243">
        <f>SUM(E36:E45)</f>
        <v>14858624</v>
      </c>
      <c r="F35" s="243">
        <f>SUM(F36:F45)</f>
        <v>14508661.96</v>
      </c>
      <c r="G35" s="165">
        <f>F35*100/E35</f>
        <v>97.64472107242231</v>
      </c>
      <c r="H35" s="243">
        <f>SUM(H36:H45)</f>
        <v>5934795</v>
      </c>
      <c r="I35" s="196">
        <f>SUM(I36:I45)</f>
        <v>5899955.66</v>
      </c>
      <c r="J35" s="165">
        <f aca="true" t="shared" si="5" ref="J35:J42">I35*100/H35</f>
        <v>99.41296472750955</v>
      </c>
      <c r="K35" s="243">
        <f>SUM(K36:K45)</f>
        <v>8923829</v>
      </c>
      <c r="L35" s="243">
        <f>SUM(L36:L45)</f>
        <v>8608706.3</v>
      </c>
      <c r="M35" s="165">
        <f>L35*100/K35</f>
        <v>96.46875012956883</v>
      </c>
    </row>
    <row r="36" spans="1:13" ht="12.75">
      <c r="A36" s="115"/>
      <c r="B36" s="115"/>
      <c r="C36" s="19">
        <v>4210</v>
      </c>
      <c r="D36" s="21" t="s">
        <v>35</v>
      </c>
      <c r="E36" s="246">
        <v>77325</v>
      </c>
      <c r="F36" s="72">
        <v>71370.78</v>
      </c>
      <c r="G36" s="146">
        <f>F36*100/E36</f>
        <v>92.29974781765276</v>
      </c>
      <c r="H36" s="71">
        <f>E36</f>
        <v>77325</v>
      </c>
      <c r="I36" s="72">
        <f>F36</f>
        <v>71370.78</v>
      </c>
      <c r="J36" s="146">
        <f>I36*100/H36</f>
        <v>92.29974781765276</v>
      </c>
      <c r="K36" s="271"/>
      <c r="L36" s="211"/>
      <c r="M36" s="147"/>
    </row>
    <row r="37" spans="1:13" ht="12.75">
      <c r="A37" s="36"/>
      <c r="B37" s="36"/>
      <c r="C37" s="19">
        <v>4260</v>
      </c>
      <c r="D37" s="21" t="s">
        <v>53</v>
      </c>
      <c r="E37" s="246">
        <v>10500</v>
      </c>
      <c r="F37" s="72">
        <v>8271.88</v>
      </c>
      <c r="G37" s="146">
        <f t="shared" si="4"/>
        <v>78.77980952380952</v>
      </c>
      <c r="H37" s="71">
        <f aca="true" t="shared" si="6" ref="H37:H42">E37</f>
        <v>10500</v>
      </c>
      <c r="I37" s="72">
        <f aca="true" t="shared" si="7" ref="I37:I42">F37</f>
        <v>8271.88</v>
      </c>
      <c r="J37" s="146">
        <f t="shared" si="5"/>
        <v>78.77980952380952</v>
      </c>
      <c r="K37" s="71"/>
      <c r="L37" s="72"/>
      <c r="M37" s="177"/>
    </row>
    <row r="38" spans="1:13" ht="12.75">
      <c r="A38" s="36"/>
      <c r="B38" s="36"/>
      <c r="C38" s="19">
        <v>4270</v>
      </c>
      <c r="D38" s="21" t="s">
        <v>54</v>
      </c>
      <c r="E38" s="241">
        <v>4956832</v>
      </c>
      <c r="F38" s="64">
        <v>4947088.22</v>
      </c>
      <c r="G38" s="146">
        <f t="shared" si="4"/>
        <v>99.80342726967547</v>
      </c>
      <c r="H38" s="71">
        <f t="shared" si="6"/>
        <v>4956832</v>
      </c>
      <c r="I38" s="72">
        <f t="shared" si="7"/>
        <v>4947088.22</v>
      </c>
      <c r="J38" s="146">
        <f t="shared" si="5"/>
        <v>99.80342726967547</v>
      </c>
      <c r="K38" s="65"/>
      <c r="L38" s="64"/>
      <c r="M38" s="168"/>
    </row>
    <row r="39" spans="1:13" ht="12.75">
      <c r="A39" s="36"/>
      <c r="B39" s="36"/>
      <c r="C39" s="19">
        <v>4300</v>
      </c>
      <c r="D39" s="21" t="s">
        <v>39</v>
      </c>
      <c r="E39" s="241">
        <v>848638</v>
      </c>
      <c r="F39" s="64">
        <v>834335.79</v>
      </c>
      <c r="G39" s="146">
        <f t="shared" si="4"/>
        <v>98.3146865919273</v>
      </c>
      <c r="H39" s="71">
        <f t="shared" si="6"/>
        <v>848638</v>
      </c>
      <c r="I39" s="72">
        <f t="shared" si="7"/>
        <v>834335.79</v>
      </c>
      <c r="J39" s="146">
        <f t="shared" si="5"/>
        <v>98.3146865919273</v>
      </c>
      <c r="K39" s="65"/>
      <c r="L39" s="64"/>
      <c r="M39" s="168"/>
    </row>
    <row r="40" spans="1:13" ht="21">
      <c r="A40" s="36"/>
      <c r="B40" s="36"/>
      <c r="C40" s="31">
        <v>4400</v>
      </c>
      <c r="D40" s="32" t="s">
        <v>141</v>
      </c>
      <c r="E40" s="241">
        <v>14000</v>
      </c>
      <c r="F40" s="64">
        <v>13955.45</v>
      </c>
      <c r="G40" s="146">
        <f t="shared" si="4"/>
        <v>99.68178571428571</v>
      </c>
      <c r="H40" s="71">
        <f t="shared" si="6"/>
        <v>14000</v>
      </c>
      <c r="I40" s="72">
        <f t="shared" si="7"/>
        <v>13955.45</v>
      </c>
      <c r="J40" s="146">
        <f t="shared" si="5"/>
        <v>99.68178571428571</v>
      </c>
      <c r="K40" s="65"/>
      <c r="L40" s="64"/>
      <c r="M40" s="168"/>
    </row>
    <row r="41" spans="1:13" ht="12.75">
      <c r="A41" s="36"/>
      <c r="B41" s="36"/>
      <c r="C41" s="31">
        <v>4430</v>
      </c>
      <c r="D41" s="21" t="s">
        <v>118</v>
      </c>
      <c r="E41" s="241">
        <v>9000</v>
      </c>
      <c r="F41" s="64">
        <v>8179.54</v>
      </c>
      <c r="G41" s="146">
        <f t="shared" si="4"/>
        <v>90.88377777777778</v>
      </c>
      <c r="H41" s="71">
        <f t="shared" si="6"/>
        <v>9000</v>
      </c>
      <c r="I41" s="72">
        <f t="shared" si="7"/>
        <v>8179.54</v>
      </c>
      <c r="J41" s="146">
        <f t="shared" si="5"/>
        <v>90.88377777777778</v>
      </c>
      <c r="K41" s="65"/>
      <c r="L41" s="64"/>
      <c r="M41" s="168"/>
    </row>
    <row r="42" spans="1:13" ht="21">
      <c r="A42" s="36"/>
      <c r="B42" s="36"/>
      <c r="C42" s="31">
        <v>4520</v>
      </c>
      <c r="D42" s="214" t="s">
        <v>197</v>
      </c>
      <c r="E42" s="245">
        <v>18500</v>
      </c>
      <c r="F42" s="64">
        <v>16754</v>
      </c>
      <c r="G42" s="146">
        <f t="shared" si="4"/>
        <v>90.56216216216217</v>
      </c>
      <c r="H42" s="71">
        <f t="shared" si="6"/>
        <v>18500</v>
      </c>
      <c r="I42" s="72">
        <f t="shared" si="7"/>
        <v>16754</v>
      </c>
      <c r="J42" s="146">
        <f t="shared" si="5"/>
        <v>90.56216216216217</v>
      </c>
      <c r="K42" s="65"/>
      <c r="L42" s="64"/>
      <c r="M42" s="168"/>
    </row>
    <row r="43" spans="1:13" ht="12.75">
      <c r="A43" s="36"/>
      <c r="B43" s="36"/>
      <c r="C43" s="33">
        <v>6050</v>
      </c>
      <c r="D43" s="34" t="s">
        <v>64</v>
      </c>
      <c r="E43" s="245">
        <v>5822263</v>
      </c>
      <c r="F43" s="64">
        <v>5801648.99</v>
      </c>
      <c r="G43" s="146">
        <f t="shared" si="4"/>
        <v>99.64594505607184</v>
      </c>
      <c r="H43" s="71"/>
      <c r="I43" s="64"/>
      <c r="J43" s="109"/>
      <c r="K43" s="65">
        <f aca="true" t="shared" si="8" ref="K43:L45">E43</f>
        <v>5822263</v>
      </c>
      <c r="L43" s="64">
        <f t="shared" si="8"/>
        <v>5801648.99</v>
      </c>
      <c r="M43" s="168">
        <f>F43/E43*100</f>
        <v>99.64594505607184</v>
      </c>
    </row>
    <row r="44" spans="1:13" ht="21">
      <c r="A44" s="36"/>
      <c r="B44" s="36"/>
      <c r="C44" s="33">
        <v>6060</v>
      </c>
      <c r="D44" s="34" t="s">
        <v>117</v>
      </c>
      <c r="E44" s="245">
        <v>3001566</v>
      </c>
      <c r="F44" s="189">
        <v>2707057.31</v>
      </c>
      <c r="G44" s="148">
        <f t="shared" si="4"/>
        <v>90.18816544430474</v>
      </c>
      <c r="H44" s="261"/>
      <c r="I44" s="189"/>
      <c r="J44" s="502"/>
      <c r="K44" s="261">
        <f t="shared" si="8"/>
        <v>3001566</v>
      </c>
      <c r="L44" s="189">
        <f t="shared" si="8"/>
        <v>2707057.31</v>
      </c>
      <c r="M44" s="178">
        <f>F44/E44*100</f>
        <v>90.18816544430474</v>
      </c>
    </row>
    <row r="45" spans="1:13" ht="31.5">
      <c r="A45" s="36"/>
      <c r="B45" s="36"/>
      <c r="C45" s="36">
        <v>6300</v>
      </c>
      <c r="D45" s="37" t="s">
        <v>185</v>
      </c>
      <c r="E45" s="242">
        <v>100000</v>
      </c>
      <c r="F45" s="191">
        <v>100000</v>
      </c>
      <c r="G45" s="148">
        <f t="shared" si="4"/>
        <v>100</v>
      </c>
      <c r="H45" s="501"/>
      <c r="I45" s="503"/>
      <c r="K45" s="262">
        <f t="shared" si="8"/>
        <v>100000</v>
      </c>
      <c r="L45" s="262">
        <f t="shared" si="8"/>
        <v>100000</v>
      </c>
      <c r="M45" s="191">
        <f>G45</f>
        <v>100</v>
      </c>
    </row>
    <row r="46" spans="1:13" ht="12.75">
      <c r="A46" s="66">
        <v>630</v>
      </c>
      <c r="B46" s="66"/>
      <c r="C46" s="66"/>
      <c r="D46" s="67" t="s">
        <v>154</v>
      </c>
      <c r="E46" s="68">
        <f>E47+E49</f>
        <v>42500</v>
      </c>
      <c r="F46" s="68">
        <f>F47+F49</f>
        <v>40000</v>
      </c>
      <c r="G46" s="154">
        <f t="shared" si="4"/>
        <v>94.11764705882354</v>
      </c>
      <c r="H46" s="68">
        <f>H47</f>
        <v>40000</v>
      </c>
      <c r="I46" s="69">
        <f>I47</f>
        <v>40000</v>
      </c>
      <c r="J46" s="154">
        <f aca="true" t="shared" si="9" ref="J46:J54">I46*100/H46</f>
        <v>100</v>
      </c>
      <c r="K46" s="68">
        <f>K49</f>
        <v>2500</v>
      </c>
      <c r="L46" s="68"/>
      <c r="M46" s="68"/>
    </row>
    <row r="47" spans="1:13" ht="14.25" customHeight="1">
      <c r="A47" s="121"/>
      <c r="B47" s="121">
        <v>63003</v>
      </c>
      <c r="C47" s="121"/>
      <c r="D47" s="78" t="s">
        <v>155</v>
      </c>
      <c r="E47" s="248">
        <f>E48</f>
        <v>40000</v>
      </c>
      <c r="F47" s="195">
        <f>F48</f>
        <v>40000</v>
      </c>
      <c r="G47" s="141">
        <f t="shared" si="4"/>
        <v>100</v>
      </c>
      <c r="H47" s="248">
        <f>H48</f>
        <v>40000</v>
      </c>
      <c r="I47" s="195">
        <f>I48</f>
        <v>40000</v>
      </c>
      <c r="J47" s="141">
        <f t="shared" si="9"/>
        <v>100</v>
      </c>
      <c r="K47" s="248"/>
      <c r="L47" s="195"/>
      <c r="M47" s="141"/>
    </row>
    <row r="48" spans="1:13" ht="52.5">
      <c r="A48" s="44"/>
      <c r="B48" s="44"/>
      <c r="C48" s="130">
        <v>2360</v>
      </c>
      <c r="D48" s="276" t="s">
        <v>177</v>
      </c>
      <c r="E48" s="277">
        <v>40000</v>
      </c>
      <c r="F48" s="278">
        <v>40000</v>
      </c>
      <c r="G48" s="279">
        <f t="shared" si="4"/>
        <v>100</v>
      </c>
      <c r="H48" s="280">
        <f>E48</f>
        <v>40000</v>
      </c>
      <c r="I48" s="278">
        <f>F48</f>
        <v>40000</v>
      </c>
      <c r="J48" s="279">
        <f t="shared" si="9"/>
        <v>100</v>
      </c>
      <c r="K48" s="280"/>
      <c r="L48" s="278"/>
      <c r="M48" s="281"/>
    </row>
    <row r="49" spans="1:13" ht="12.75">
      <c r="A49" s="121"/>
      <c r="B49" s="121">
        <v>63095</v>
      </c>
      <c r="C49" s="121"/>
      <c r="D49" s="78" t="s">
        <v>6</v>
      </c>
      <c r="E49" s="248">
        <f>E50+E51</f>
        <v>2500</v>
      </c>
      <c r="F49" s="195">
        <v>0</v>
      </c>
      <c r="G49" s="141">
        <f t="shared" si="4"/>
        <v>0</v>
      </c>
      <c r="H49" s="248"/>
      <c r="I49" s="195"/>
      <c r="J49" s="141"/>
      <c r="K49" s="248">
        <f>K50+K51</f>
        <v>2500</v>
      </c>
      <c r="L49" s="141">
        <v>0</v>
      </c>
      <c r="M49" s="141">
        <v>0</v>
      </c>
    </row>
    <row r="50" spans="1:13" ht="12.75">
      <c r="A50" s="76"/>
      <c r="B50" s="76"/>
      <c r="C50" s="142">
        <v>6057</v>
      </c>
      <c r="D50" s="410" t="s">
        <v>210</v>
      </c>
      <c r="E50" s="390">
        <v>2000</v>
      </c>
      <c r="F50" s="386">
        <v>0</v>
      </c>
      <c r="G50" s="392">
        <f t="shared" si="4"/>
        <v>0</v>
      </c>
      <c r="H50" s="388"/>
      <c r="I50" s="386"/>
      <c r="J50" s="392"/>
      <c r="K50" s="71">
        <f>E50</f>
        <v>2000</v>
      </c>
      <c r="L50" s="72">
        <v>0</v>
      </c>
      <c r="M50" s="177">
        <v>0</v>
      </c>
    </row>
    <row r="51" spans="1:13" ht="12.75">
      <c r="A51" s="46"/>
      <c r="B51" s="46"/>
      <c r="C51" s="348">
        <v>6059</v>
      </c>
      <c r="D51" s="349" t="s">
        <v>210</v>
      </c>
      <c r="E51" s="247">
        <v>500</v>
      </c>
      <c r="F51" s="187">
        <v>0</v>
      </c>
      <c r="G51" s="158">
        <f t="shared" si="4"/>
        <v>0</v>
      </c>
      <c r="H51" s="259"/>
      <c r="I51" s="187"/>
      <c r="J51" s="158"/>
      <c r="K51" s="259">
        <f>E51</f>
        <v>500</v>
      </c>
      <c r="L51" s="191">
        <v>0</v>
      </c>
      <c r="M51" s="179">
        <v>0</v>
      </c>
    </row>
    <row r="52" spans="1:13" s="4" customFormat="1" ht="12.75">
      <c r="A52" s="66">
        <v>700</v>
      </c>
      <c r="B52" s="66"/>
      <c r="C52" s="66"/>
      <c r="D52" s="67" t="s">
        <v>10</v>
      </c>
      <c r="E52" s="68">
        <f>SUM(E53)</f>
        <v>8808380</v>
      </c>
      <c r="F52" s="69">
        <f>SUM(F53)</f>
        <v>7932902.66</v>
      </c>
      <c r="G52" s="154">
        <f t="shared" si="4"/>
        <v>90.06085863688897</v>
      </c>
      <c r="H52" s="68">
        <f>SUM(H53)</f>
        <v>5458556</v>
      </c>
      <c r="I52" s="69">
        <f>SUM(I53)</f>
        <v>4873703.33</v>
      </c>
      <c r="J52" s="154">
        <f t="shared" si="9"/>
        <v>89.28557900660907</v>
      </c>
      <c r="K52" s="68">
        <f>SUM(K53)</f>
        <v>3349824</v>
      </c>
      <c r="L52" s="69">
        <f>SUM(L53)</f>
        <v>3059199.33</v>
      </c>
      <c r="M52" s="154">
        <f>L52*100/K52</f>
        <v>91.32418091219121</v>
      </c>
    </row>
    <row r="53" spans="1:13" s="4" customFormat="1" ht="12.75">
      <c r="A53" s="105"/>
      <c r="B53" s="105">
        <v>70005</v>
      </c>
      <c r="C53" s="105"/>
      <c r="D53" s="107" t="s">
        <v>9</v>
      </c>
      <c r="E53" s="240">
        <f>SUM(E54:E59,E60:E69)</f>
        <v>8808380</v>
      </c>
      <c r="F53" s="108">
        <f>SUM(F54:F59,F60:F69)</f>
        <v>7932902.66</v>
      </c>
      <c r="G53" s="156">
        <f t="shared" si="4"/>
        <v>90.06085863688897</v>
      </c>
      <c r="H53" s="240">
        <f>SUM(H54:H59,H60:H69)</f>
        <v>5458556</v>
      </c>
      <c r="I53" s="108">
        <f>SUM(I54:I59,I60:I69)</f>
        <v>4873703.33</v>
      </c>
      <c r="J53" s="156">
        <f t="shared" si="9"/>
        <v>89.28557900660907</v>
      </c>
      <c r="K53" s="240">
        <f>SUM(K54:K59,K60:K69)</f>
        <v>3349824</v>
      </c>
      <c r="L53" s="108">
        <f>SUM(L54:L59,L60:L69)</f>
        <v>3059199.33</v>
      </c>
      <c r="M53" s="156">
        <f>L53*100/K53</f>
        <v>91.32418091219121</v>
      </c>
    </row>
    <row r="54" spans="1:13" s="4" customFormat="1" ht="12.75">
      <c r="A54" s="36"/>
      <c r="B54" s="36"/>
      <c r="C54" s="31">
        <v>4110</v>
      </c>
      <c r="D54" s="32" t="s">
        <v>43</v>
      </c>
      <c r="E54" s="241">
        <v>62600</v>
      </c>
      <c r="F54" s="64">
        <v>59189.48</v>
      </c>
      <c r="G54" s="109">
        <f t="shared" si="4"/>
        <v>94.55188498402556</v>
      </c>
      <c r="H54" s="65">
        <f>E54</f>
        <v>62600</v>
      </c>
      <c r="I54" s="64">
        <f>F54</f>
        <v>59189.48</v>
      </c>
      <c r="J54" s="109">
        <f t="shared" si="9"/>
        <v>94.55188498402556</v>
      </c>
      <c r="K54" s="65"/>
      <c r="L54" s="64"/>
      <c r="M54" s="168"/>
    </row>
    <row r="55" spans="1:13" s="4" customFormat="1" ht="12.75">
      <c r="A55" s="36"/>
      <c r="B55" s="36"/>
      <c r="C55" s="31">
        <v>4120</v>
      </c>
      <c r="D55" s="32" t="s">
        <v>34</v>
      </c>
      <c r="E55" s="241">
        <v>2886</v>
      </c>
      <c r="F55" s="64">
        <v>2473.89</v>
      </c>
      <c r="G55" s="109">
        <f aca="true" t="shared" si="10" ref="G55:G62">F55*100/E55</f>
        <v>85.72037422037423</v>
      </c>
      <c r="H55" s="65">
        <f aca="true" t="shared" si="11" ref="H55:H62">E55</f>
        <v>2886</v>
      </c>
      <c r="I55" s="64">
        <f aca="true" t="shared" si="12" ref="I55:I62">F55</f>
        <v>2473.89</v>
      </c>
      <c r="J55" s="109">
        <f aca="true" t="shared" si="13" ref="J55:J62">I55*100/H55</f>
        <v>85.72037422037423</v>
      </c>
      <c r="K55" s="65"/>
      <c r="L55" s="64"/>
      <c r="M55" s="168"/>
    </row>
    <row r="56" spans="1:13" s="4" customFormat="1" ht="12.75">
      <c r="A56" s="36"/>
      <c r="B56" s="36"/>
      <c r="C56" s="31">
        <v>4170</v>
      </c>
      <c r="D56" s="32" t="s">
        <v>114</v>
      </c>
      <c r="E56" s="241">
        <v>364014</v>
      </c>
      <c r="F56" s="64">
        <v>350254.31</v>
      </c>
      <c r="G56" s="109">
        <f t="shared" si="10"/>
        <v>96.22001076881658</v>
      </c>
      <c r="H56" s="65">
        <f t="shared" si="11"/>
        <v>364014</v>
      </c>
      <c r="I56" s="64">
        <f t="shared" si="12"/>
        <v>350254.31</v>
      </c>
      <c r="J56" s="109">
        <f t="shared" si="13"/>
        <v>96.22001076881658</v>
      </c>
      <c r="K56" s="65"/>
      <c r="L56" s="64"/>
      <c r="M56" s="168"/>
    </row>
    <row r="57" spans="1:13" ht="12.75">
      <c r="A57" s="46"/>
      <c r="B57" s="46"/>
      <c r="C57" s="41">
        <v>4210</v>
      </c>
      <c r="D57" s="42" t="s">
        <v>47</v>
      </c>
      <c r="E57" s="244">
        <v>48000</v>
      </c>
      <c r="F57" s="188">
        <v>31552.94</v>
      </c>
      <c r="G57" s="159">
        <f t="shared" si="10"/>
        <v>65.73529166666667</v>
      </c>
      <c r="H57" s="260">
        <f t="shared" si="11"/>
        <v>48000</v>
      </c>
      <c r="I57" s="188">
        <f t="shared" si="12"/>
        <v>31552.94</v>
      </c>
      <c r="J57" s="159">
        <f t="shared" si="13"/>
        <v>65.73529166666667</v>
      </c>
      <c r="K57" s="260"/>
      <c r="L57" s="188"/>
      <c r="M57" s="176"/>
    </row>
    <row r="58" spans="1:13" ht="12.75">
      <c r="A58" s="36"/>
      <c r="B58" s="36"/>
      <c r="C58" s="19">
        <v>4260</v>
      </c>
      <c r="D58" s="21" t="s">
        <v>53</v>
      </c>
      <c r="E58" s="246">
        <v>382315</v>
      </c>
      <c r="F58" s="72">
        <v>372188.85</v>
      </c>
      <c r="G58" s="146">
        <f t="shared" si="10"/>
        <v>97.35135948105619</v>
      </c>
      <c r="H58" s="71">
        <f t="shared" si="11"/>
        <v>382315</v>
      </c>
      <c r="I58" s="72">
        <f t="shared" si="12"/>
        <v>372188.85</v>
      </c>
      <c r="J58" s="146">
        <f t="shared" si="13"/>
        <v>97.35135948105619</v>
      </c>
      <c r="K58" s="71"/>
      <c r="L58" s="72"/>
      <c r="M58" s="177"/>
    </row>
    <row r="59" spans="1:13" ht="12.75">
      <c r="A59" s="36"/>
      <c r="B59" s="36"/>
      <c r="C59" s="31">
        <v>4270</v>
      </c>
      <c r="D59" s="32" t="s">
        <v>54</v>
      </c>
      <c r="E59" s="241">
        <v>246385</v>
      </c>
      <c r="F59" s="64">
        <v>194492.65</v>
      </c>
      <c r="G59" s="109">
        <f t="shared" si="10"/>
        <v>78.93851086713883</v>
      </c>
      <c r="H59" s="65">
        <f t="shared" si="11"/>
        <v>246385</v>
      </c>
      <c r="I59" s="64">
        <f t="shared" si="12"/>
        <v>194492.65</v>
      </c>
      <c r="J59" s="109">
        <f t="shared" si="13"/>
        <v>78.93851086713883</v>
      </c>
      <c r="K59" s="65"/>
      <c r="L59" s="64"/>
      <c r="M59" s="168"/>
    </row>
    <row r="60" spans="1:13" ht="12.75">
      <c r="A60" s="36"/>
      <c r="B60" s="36"/>
      <c r="C60" s="31">
        <v>4300</v>
      </c>
      <c r="D60" s="32" t="s">
        <v>103</v>
      </c>
      <c r="E60" s="241">
        <v>345248</v>
      </c>
      <c r="F60" s="64">
        <v>266504.11</v>
      </c>
      <c r="G60" s="109">
        <f t="shared" si="10"/>
        <v>77.19207931689684</v>
      </c>
      <c r="H60" s="65">
        <f t="shared" si="11"/>
        <v>345248</v>
      </c>
      <c r="I60" s="64">
        <f t="shared" si="12"/>
        <v>266504.11</v>
      </c>
      <c r="J60" s="109">
        <f t="shared" si="13"/>
        <v>77.19207931689684</v>
      </c>
      <c r="K60" s="65"/>
      <c r="L60" s="64"/>
      <c r="M60" s="168"/>
    </row>
    <row r="61" spans="1:13" ht="12.75">
      <c r="A61" s="36"/>
      <c r="B61" s="36"/>
      <c r="C61" s="31">
        <v>4360</v>
      </c>
      <c r="D61" s="32" t="s">
        <v>207</v>
      </c>
      <c r="E61" s="241">
        <v>5200</v>
      </c>
      <c r="F61" s="64">
        <v>2728.41</v>
      </c>
      <c r="G61" s="109">
        <f t="shared" si="10"/>
        <v>52.46942307692308</v>
      </c>
      <c r="H61" s="65">
        <f t="shared" si="11"/>
        <v>5200</v>
      </c>
      <c r="I61" s="64">
        <f t="shared" si="12"/>
        <v>2728.41</v>
      </c>
      <c r="J61" s="109">
        <f t="shared" si="13"/>
        <v>52.46942307692308</v>
      </c>
      <c r="K61" s="65"/>
      <c r="L61" s="64"/>
      <c r="M61" s="168"/>
    </row>
    <row r="62" spans="1:13" ht="21">
      <c r="A62" s="36"/>
      <c r="B62" s="36"/>
      <c r="C62" s="31">
        <v>4400</v>
      </c>
      <c r="D62" s="32" t="s">
        <v>141</v>
      </c>
      <c r="E62" s="241">
        <v>1436035</v>
      </c>
      <c r="F62" s="64">
        <v>1299567.4</v>
      </c>
      <c r="G62" s="109">
        <f t="shared" si="10"/>
        <v>90.49691685787602</v>
      </c>
      <c r="H62" s="65">
        <f t="shared" si="11"/>
        <v>1436035</v>
      </c>
      <c r="I62" s="64">
        <f t="shared" si="12"/>
        <v>1299567.4</v>
      </c>
      <c r="J62" s="109">
        <f t="shared" si="13"/>
        <v>90.49691685787602</v>
      </c>
      <c r="K62" s="65"/>
      <c r="L62" s="64"/>
      <c r="M62" s="168"/>
    </row>
    <row r="63" spans="1:13" ht="12.75">
      <c r="A63" s="36"/>
      <c r="B63" s="36"/>
      <c r="C63" s="31">
        <v>4430</v>
      </c>
      <c r="D63" s="32" t="s">
        <v>118</v>
      </c>
      <c r="E63" s="241">
        <v>287500</v>
      </c>
      <c r="F63" s="64">
        <v>262528.97</v>
      </c>
      <c r="G63" s="109">
        <f aca="true" t="shared" si="14" ref="G63:G69">F63*100/E63</f>
        <v>91.31442434782608</v>
      </c>
      <c r="H63" s="65">
        <f aca="true" t="shared" si="15" ref="H63:I68">E63</f>
        <v>287500</v>
      </c>
      <c r="I63" s="64">
        <f t="shared" si="15"/>
        <v>262528.97</v>
      </c>
      <c r="J63" s="109">
        <f aca="true" t="shared" si="16" ref="J63:J70">I63*100/H63</f>
        <v>91.31442434782608</v>
      </c>
      <c r="K63" s="65"/>
      <c r="L63" s="64"/>
      <c r="M63" s="168"/>
    </row>
    <row r="64" spans="1:13" ht="12.75">
      <c r="A64" s="36"/>
      <c r="B64" s="36"/>
      <c r="C64" s="31">
        <v>4500</v>
      </c>
      <c r="D64" s="32" t="s">
        <v>199</v>
      </c>
      <c r="E64" s="241">
        <v>1000</v>
      </c>
      <c r="F64" s="64">
        <v>800</v>
      </c>
      <c r="G64" s="109">
        <f t="shared" si="14"/>
        <v>80</v>
      </c>
      <c r="H64" s="65">
        <f t="shared" si="15"/>
        <v>1000</v>
      </c>
      <c r="I64" s="64">
        <f t="shared" si="15"/>
        <v>800</v>
      </c>
      <c r="J64" s="109">
        <f t="shared" si="16"/>
        <v>80</v>
      </c>
      <c r="K64" s="65"/>
      <c r="L64" s="64"/>
      <c r="M64" s="168"/>
    </row>
    <row r="65" spans="1:13" ht="12.75">
      <c r="A65" s="36"/>
      <c r="B65" s="36"/>
      <c r="C65" s="31">
        <v>4520</v>
      </c>
      <c r="D65" s="32" t="s">
        <v>200</v>
      </c>
      <c r="E65" s="241">
        <v>552</v>
      </c>
      <c r="F65" s="64">
        <v>552</v>
      </c>
      <c r="G65" s="109">
        <f t="shared" si="14"/>
        <v>100</v>
      </c>
      <c r="H65" s="65">
        <f t="shared" si="15"/>
        <v>552</v>
      </c>
      <c r="I65" s="64">
        <f t="shared" si="15"/>
        <v>552</v>
      </c>
      <c r="J65" s="109">
        <f t="shared" si="16"/>
        <v>100</v>
      </c>
      <c r="K65" s="65"/>
      <c r="L65" s="64"/>
      <c r="M65" s="168"/>
    </row>
    <row r="66" spans="1:13" ht="12.75">
      <c r="A66" s="36"/>
      <c r="B66" s="36"/>
      <c r="C66" s="31">
        <v>4530</v>
      </c>
      <c r="D66" s="32" t="s">
        <v>202</v>
      </c>
      <c r="E66" s="241">
        <v>750</v>
      </c>
      <c r="F66" s="64">
        <v>745.32</v>
      </c>
      <c r="G66" s="109">
        <f t="shared" si="14"/>
        <v>99.376</v>
      </c>
      <c r="H66" s="65">
        <f t="shared" si="15"/>
        <v>750</v>
      </c>
      <c r="I66" s="64">
        <f t="shared" si="15"/>
        <v>745.32</v>
      </c>
      <c r="J66" s="109">
        <f t="shared" si="16"/>
        <v>99.376</v>
      </c>
      <c r="K66" s="65"/>
      <c r="L66" s="64"/>
      <c r="M66" s="168"/>
    </row>
    <row r="67" spans="1:13" ht="21">
      <c r="A67" s="36"/>
      <c r="B67" s="36"/>
      <c r="C67" s="31">
        <v>4590</v>
      </c>
      <c r="D67" s="32" t="s">
        <v>105</v>
      </c>
      <c r="E67" s="241">
        <v>1920151</v>
      </c>
      <c r="F67" s="64">
        <v>1674205</v>
      </c>
      <c r="G67" s="109">
        <f t="shared" si="14"/>
        <v>87.19131984932434</v>
      </c>
      <c r="H67" s="65">
        <f t="shared" si="15"/>
        <v>1920151</v>
      </c>
      <c r="I67" s="64">
        <f t="shared" si="15"/>
        <v>1674205</v>
      </c>
      <c r="J67" s="109">
        <f t="shared" si="16"/>
        <v>87.19131984932434</v>
      </c>
      <c r="K67" s="65"/>
      <c r="L67" s="64"/>
      <c r="M67" s="168"/>
    </row>
    <row r="68" spans="1:13" ht="36">
      <c r="A68" s="36"/>
      <c r="B68" s="36"/>
      <c r="C68" s="31">
        <v>4600</v>
      </c>
      <c r="D68" s="124" t="s">
        <v>184</v>
      </c>
      <c r="E68" s="241">
        <v>355920</v>
      </c>
      <c r="F68" s="64">
        <v>355920</v>
      </c>
      <c r="G68" s="109">
        <f t="shared" si="14"/>
        <v>100</v>
      </c>
      <c r="H68" s="65">
        <f t="shared" si="15"/>
        <v>355920</v>
      </c>
      <c r="I68" s="64">
        <f t="shared" si="15"/>
        <v>355920</v>
      </c>
      <c r="J68" s="109">
        <f t="shared" si="16"/>
        <v>100</v>
      </c>
      <c r="K68" s="65"/>
      <c r="L68" s="64"/>
      <c r="M68" s="168"/>
    </row>
    <row r="69" spans="1:13" ht="12.75">
      <c r="A69" s="36"/>
      <c r="B69" s="36"/>
      <c r="C69" s="33">
        <v>6050</v>
      </c>
      <c r="D69" s="34" t="s">
        <v>64</v>
      </c>
      <c r="E69" s="245">
        <v>3349824</v>
      </c>
      <c r="F69" s="64">
        <v>3059199.33</v>
      </c>
      <c r="G69" s="146">
        <f t="shared" si="14"/>
        <v>91.32418091219121</v>
      </c>
      <c r="H69" s="71"/>
      <c r="I69" s="64"/>
      <c r="J69" s="109"/>
      <c r="K69" s="65">
        <f>E69</f>
        <v>3349824</v>
      </c>
      <c r="L69" s="64">
        <f>F69</f>
        <v>3059199.33</v>
      </c>
      <c r="M69" s="168">
        <f>L69*100/K69</f>
        <v>91.32418091219121</v>
      </c>
    </row>
    <row r="70" spans="1:13" s="16" customFormat="1" ht="11.25">
      <c r="A70" s="66">
        <v>710</v>
      </c>
      <c r="B70" s="66"/>
      <c r="C70" s="66"/>
      <c r="D70" s="67" t="s">
        <v>40</v>
      </c>
      <c r="E70" s="68">
        <f>SUM(E71,E74,E76)</f>
        <v>288132</v>
      </c>
      <c r="F70" s="69">
        <f>SUM(F71,F74,F76)</f>
        <v>147010.2</v>
      </c>
      <c r="G70" s="154">
        <f aca="true" t="shared" si="17" ref="G70:G75">F70*100/E70</f>
        <v>51.02182333097331</v>
      </c>
      <c r="H70" s="68">
        <f>SUM(H71,H74)</f>
        <v>264000</v>
      </c>
      <c r="I70" s="69">
        <f>SUM(I71,I74)</f>
        <v>147010.2</v>
      </c>
      <c r="J70" s="154">
        <f t="shared" si="16"/>
        <v>55.68568181818183</v>
      </c>
      <c r="K70" s="68">
        <f>K76</f>
        <v>24132</v>
      </c>
      <c r="L70" s="69"/>
      <c r="M70" s="154"/>
    </row>
    <row r="71" spans="1:13" s="16" customFormat="1" ht="11.25">
      <c r="A71" s="105"/>
      <c r="B71" s="105">
        <v>71004</v>
      </c>
      <c r="C71" s="105"/>
      <c r="D71" s="107" t="s">
        <v>38</v>
      </c>
      <c r="E71" s="240">
        <f>E72+E73</f>
        <v>153000</v>
      </c>
      <c r="F71" s="108">
        <f>SUM(F72:F73)</f>
        <v>73409.37</v>
      </c>
      <c r="G71" s="156">
        <f t="shared" si="17"/>
        <v>47.97998039215686</v>
      </c>
      <c r="H71" s="240">
        <f>SUM(H72:H73)</f>
        <v>153000</v>
      </c>
      <c r="I71" s="108">
        <f>SUM(I72:I73)</f>
        <v>73409.37</v>
      </c>
      <c r="J71" s="156">
        <f>I71*100/H71</f>
        <v>47.97998039215686</v>
      </c>
      <c r="K71" s="240"/>
      <c r="L71" s="108"/>
      <c r="M71" s="156"/>
    </row>
    <row r="72" spans="1:13" s="17" customFormat="1" ht="11.25">
      <c r="A72" s="36"/>
      <c r="B72" s="36"/>
      <c r="C72" s="31">
        <v>4170</v>
      </c>
      <c r="D72" s="32" t="s">
        <v>114</v>
      </c>
      <c r="E72" s="241">
        <v>18000</v>
      </c>
      <c r="F72" s="64">
        <v>7600</v>
      </c>
      <c r="G72" s="109">
        <f t="shared" si="17"/>
        <v>42.22222222222222</v>
      </c>
      <c r="H72" s="65">
        <f>E72</f>
        <v>18000</v>
      </c>
      <c r="I72" s="64">
        <f>F72</f>
        <v>7600</v>
      </c>
      <c r="J72" s="109">
        <f>I72*100/H72</f>
        <v>42.22222222222222</v>
      </c>
      <c r="K72" s="65"/>
      <c r="L72" s="64"/>
      <c r="M72" s="168"/>
    </row>
    <row r="73" spans="1:13" s="17" customFormat="1" ht="11.25">
      <c r="A73" s="36"/>
      <c r="B73" s="36"/>
      <c r="C73" s="31">
        <v>4300</v>
      </c>
      <c r="D73" s="32" t="s">
        <v>39</v>
      </c>
      <c r="E73" s="241">
        <v>135000</v>
      </c>
      <c r="F73" s="64">
        <v>65809.37</v>
      </c>
      <c r="G73" s="109">
        <f t="shared" si="17"/>
        <v>48.74768148148148</v>
      </c>
      <c r="H73" s="65">
        <f>E73</f>
        <v>135000</v>
      </c>
      <c r="I73" s="64">
        <f>F73</f>
        <v>65809.37</v>
      </c>
      <c r="J73" s="109">
        <f>I73*100/H73</f>
        <v>48.74768148148148</v>
      </c>
      <c r="K73" s="65"/>
      <c r="L73" s="64"/>
      <c r="M73" s="168"/>
    </row>
    <row r="74" spans="1:13" s="18" customFormat="1" ht="11.25">
      <c r="A74" s="105"/>
      <c r="B74" s="105">
        <v>71012</v>
      </c>
      <c r="C74" s="105"/>
      <c r="D74" s="107" t="s">
        <v>214</v>
      </c>
      <c r="E74" s="240">
        <f>E75</f>
        <v>111000</v>
      </c>
      <c r="F74" s="108">
        <f>F75</f>
        <v>73600.83</v>
      </c>
      <c r="G74" s="156">
        <f t="shared" si="17"/>
        <v>66.30705405405405</v>
      </c>
      <c r="H74" s="240">
        <f>H75</f>
        <v>111000</v>
      </c>
      <c r="I74" s="108">
        <f>I75</f>
        <v>73600.83</v>
      </c>
      <c r="J74" s="156">
        <f>I74*100/H74</f>
        <v>66.30705405405405</v>
      </c>
      <c r="K74" s="240"/>
      <c r="L74" s="108"/>
      <c r="M74" s="156"/>
    </row>
    <row r="75" spans="1:13" s="17" customFormat="1" ht="11.25">
      <c r="A75" s="41"/>
      <c r="B75" s="41"/>
      <c r="C75" s="41">
        <v>4300</v>
      </c>
      <c r="D75" s="42" t="s">
        <v>39</v>
      </c>
      <c r="E75" s="244">
        <v>111000</v>
      </c>
      <c r="F75" s="188">
        <v>73600.83</v>
      </c>
      <c r="G75" s="159">
        <f t="shared" si="17"/>
        <v>66.30705405405405</v>
      </c>
      <c r="H75" s="260">
        <f>E75</f>
        <v>111000</v>
      </c>
      <c r="I75" s="188">
        <f>F75</f>
        <v>73600.83</v>
      </c>
      <c r="J75" s="159">
        <f>I75*100/H75</f>
        <v>66.30705405405405</v>
      </c>
      <c r="K75" s="260"/>
      <c r="L75" s="188"/>
      <c r="M75" s="176"/>
    </row>
    <row r="76" spans="1:13" s="17" customFormat="1" ht="52.5">
      <c r="A76" s="290"/>
      <c r="B76" s="290">
        <v>71095</v>
      </c>
      <c r="C76" s="290"/>
      <c r="D76" s="289" t="s">
        <v>220</v>
      </c>
      <c r="E76" s="291">
        <f>SUM(E77:E77)</f>
        <v>24132</v>
      </c>
      <c r="F76" s="292">
        <v>0</v>
      </c>
      <c r="G76" s="156">
        <v>0</v>
      </c>
      <c r="H76" s="240"/>
      <c r="I76" s="108"/>
      <c r="J76" s="156"/>
      <c r="K76" s="240">
        <f>K77</f>
        <v>24132</v>
      </c>
      <c r="L76" s="108">
        <v>0</v>
      </c>
      <c r="M76" s="108">
        <v>0</v>
      </c>
    </row>
    <row r="77" spans="1:13" s="17" customFormat="1" ht="45.75" customHeight="1">
      <c r="A77" s="33"/>
      <c r="B77" s="33"/>
      <c r="C77" s="33">
        <v>6639</v>
      </c>
      <c r="D77" s="34" t="s">
        <v>225</v>
      </c>
      <c r="E77" s="245">
        <v>24132</v>
      </c>
      <c r="F77" s="189">
        <v>0</v>
      </c>
      <c r="G77" s="113">
        <v>0</v>
      </c>
      <c r="H77" s="261"/>
      <c r="I77" s="189"/>
      <c r="J77" s="113"/>
      <c r="K77" s="261">
        <f>E77</f>
        <v>24132</v>
      </c>
      <c r="L77" s="189">
        <v>0</v>
      </c>
      <c r="M77" s="178">
        <v>0</v>
      </c>
    </row>
    <row r="78" spans="1:13" s="16" customFormat="1" ht="11.25">
      <c r="A78" s="66">
        <v>750</v>
      </c>
      <c r="B78" s="66"/>
      <c r="C78" s="66"/>
      <c r="D78" s="67" t="s">
        <v>12</v>
      </c>
      <c r="E78" s="68">
        <f>E79+E93+E100+E131+E140+E166+E161+E124</f>
        <v>20996163</v>
      </c>
      <c r="F78" s="69">
        <f>F79+F93+F100+F131+F140+F166+F161+F124</f>
        <v>20170842.9</v>
      </c>
      <c r="G78" s="154">
        <f aca="true" t="shared" si="18" ref="G78:G90">F78*100/E78</f>
        <v>96.06918606985475</v>
      </c>
      <c r="H78" s="68">
        <f>H79+H93+H100+H131+H140+H166+H161+H124</f>
        <v>20765935</v>
      </c>
      <c r="I78" s="69">
        <f>I79+I93+I100+I131+I140+I166+I161+I124</f>
        <v>19941839.93</v>
      </c>
      <c r="J78" s="154">
        <f>I78*100/H78</f>
        <v>96.03150510680112</v>
      </c>
      <c r="K78" s="69">
        <f>K93+K100+K140</f>
        <v>230228</v>
      </c>
      <c r="L78" s="69">
        <f>L93+L100+L140</f>
        <v>229002.97</v>
      </c>
      <c r="M78" s="154">
        <f>L78*100/K78</f>
        <v>99.46790572823463</v>
      </c>
    </row>
    <row r="79" spans="1:13" s="16" customFormat="1" ht="11.25">
      <c r="A79" s="105"/>
      <c r="B79" s="105">
        <v>75011</v>
      </c>
      <c r="C79" s="105"/>
      <c r="D79" s="107" t="s">
        <v>11</v>
      </c>
      <c r="E79" s="240">
        <f>SUM(E80:E92)</f>
        <v>856038</v>
      </c>
      <c r="F79" s="108">
        <f>SUM(F80:F92)</f>
        <v>810968.49</v>
      </c>
      <c r="G79" s="156">
        <f t="shared" si="18"/>
        <v>94.73510404911931</v>
      </c>
      <c r="H79" s="240">
        <f>SUM(H80:H92)</f>
        <v>856038</v>
      </c>
      <c r="I79" s="108">
        <f>SUM(I80:I92)</f>
        <v>810968.49</v>
      </c>
      <c r="J79" s="156">
        <f>I79*100/H79</f>
        <v>94.73510404911931</v>
      </c>
      <c r="K79" s="240"/>
      <c r="L79" s="108"/>
      <c r="M79" s="156"/>
    </row>
    <row r="80" spans="1:13" s="17" customFormat="1" ht="11.25">
      <c r="A80" s="36"/>
      <c r="B80" s="36"/>
      <c r="C80" s="31">
        <v>3020</v>
      </c>
      <c r="D80" s="32" t="s">
        <v>116</v>
      </c>
      <c r="E80" s="241">
        <v>800</v>
      </c>
      <c r="F80" s="193">
        <v>735</v>
      </c>
      <c r="G80" s="161">
        <f t="shared" si="18"/>
        <v>91.875</v>
      </c>
      <c r="H80" s="265">
        <f>E80</f>
        <v>800</v>
      </c>
      <c r="I80" s="193">
        <f>F80</f>
        <v>735</v>
      </c>
      <c r="J80" s="161">
        <f>I80*100/H80</f>
        <v>91.875</v>
      </c>
      <c r="K80" s="265"/>
      <c r="L80" s="193"/>
      <c r="M80" s="168"/>
    </row>
    <row r="81" spans="1:13" s="17" customFormat="1" ht="11.25">
      <c r="A81" s="36"/>
      <c r="B81" s="36"/>
      <c r="C81" s="31">
        <v>4010</v>
      </c>
      <c r="D81" s="32" t="s">
        <v>41</v>
      </c>
      <c r="E81" s="241">
        <v>669780</v>
      </c>
      <c r="F81" s="193">
        <v>637926.5</v>
      </c>
      <c r="G81" s="161">
        <f>F81*100/E81</f>
        <v>95.24418465764877</v>
      </c>
      <c r="H81" s="265">
        <f>E81</f>
        <v>669780</v>
      </c>
      <c r="I81" s="193">
        <f>F81</f>
        <v>637926.5</v>
      </c>
      <c r="J81" s="161">
        <f>I81*100/H81</f>
        <v>95.24418465764877</v>
      </c>
      <c r="K81" s="265"/>
      <c r="L81" s="193"/>
      <c r="M81" s="168"/>
    </row>
    <row r="82" spans="1:13" s="17" customFormat="1" ht="11.25">
      <c r="A82" s="36"/>
      <c r="B82" s="36"/>
      <c r="C82" s="31">
        <v>4040</v>
      </c>
      <c r="D82" s="32" t="s">
        <v>42</v>
      </c>
      <c r="E82" s="241">
        <v>34607</v>
      </c>
      <c r="F82" s="193">
        <v>34606.42</v>
      </c>
      <c r="G82" s="161">
        <f t="shared" si="18"/>
        <v>99.99832403848933</v>
      </c>
      <c r="H82" s="265">
        <f aca="true" t="shared" si="19" ref="H82:I84">E82</f>
        <v>34607</v>
      </c>
      <c r="I82" s="193">
        <f t="shared" si="19"/>
        <v>34606.42</v>
      </c>
      <c r="J82" s="161">
        <f aca="true" t="shared" si="20" ref="J82:J101">I82*100/H82</f>
        <v>99.99832403848933</v>
      </c>
      <c r="K82" s="265"/>
      <c r="L82" s="193"/>
      <c r="M82" s="168"/>
    </row>
    <row r="83" spans="1:13" s="17" customFormat="1" ht="11.25">
      <c r="A83" s="36"/>
      <c r="B83" s="36"/>
      <c r="C83" s="19">
        <v>4110</v>
      </c>
      <c r="D83" s="21" t="s">
        <v>43</v>
      </c>
      <c r="E83" s="246">
        <v>94000</v>
      </c>
      <c r="F83" s="192">
        <v>92540.58</v>
      </c>
      <c r="G83" s="162">
        <f t="shared" si="18"/>
        <v>98.44742553191489</v>
      </c>
      <c r="H83" s="264">
        <f t="shared" si="19"/>
        <v>94000</v>
      </c>
      <c r="I83" s="192">
        <f t="shared" si="19"/>
        <v>92540.58</v>
      </c>
      <c r="J83" s="162">
        <f t="shared" si="20"/>
        <v>98.44742553191489</v>
      </c>
      <c r="K83" s="264"/>
      <c r="L83" s="192"/>
      <c r="M83" s="177"/>
    </row>
    <row r="84" spans="1:13" s="17" customFormat="1" ht="11.25">
      <c r="A84" s="36"/>
      <c r="B84" s="36"/>
      <c r="C84" s="31">
        <v>4120</v>
      </c>
      <c r="D84" s="32" t="s">
        <v>34</v>
      </c>
      <c r="E84" s="241">
        <v>13393</v>
      </c>
      <c r="F84" s="193">
        <v>3212.94</v>
      </c>
      <c r="G84" s="161">
        <f t="shared" si="18"/>
        <v>23.98969610990816</v>
      </c>
      <c r="H84" s="265">
        <f t="shared" si="19"/>
        <v>13393</v>
      </c>
      <c r="I84" s="193">
        <f t="shared" si="19"/>
        <v>3212.94</v>
      </c>
      <c r="J84" s="161">
        <f t="shared" si="20"/>
        <v>23.98969610990816</v>
      </c>
      <c r="K84" s="265"/>
      <c r="L84" s="193"/>
      <c r="M84" s="168"/>
    </row>
    <row r="85" spans="1:13" s="17" customFormat="1" ht="11.25">
      <c r="A85" s="46"/>
      <c r="B85" s="46"/>
      <c r="C85" s="41">
        <v>4210</v>
      </c>
      <c r="D85" s="42" t="s">
        <v>208</v>
      </c>
      <c r="E85" s="244">
        <v>4308</v>
      </c>
      <c r="F85" s="190">
        <v>4005.65</v>
      </c>
      <c r="G85" s="160">
        <f t="shared" si="18"/>
        <v>92.98166202414113</v>
      </c>
      <c r="H85" s="266">
        <f aca="true" t="shared" si="21" ref="H85:I90">E85</f>
        <v>4308</v>
      </c>
      <c r="I85" s="190">
        <f t="shared" si="21"/>
        <v>4005.65</v>
      </c>
      <c r="J85" s="160">
        <f aca="true" t="shared" si="22" ref="J85:J90">I85*100/H85</f>
        <v>92.98166202414113</v>
      </c>
      <c r="K85" s="266"/>
      <c r="L85" s="190"/>
      <c r="M85" s="176"/>
    </row>
    <row r="86" spans="1:13" s="17" customFormat="1" ht="11.25">
      <c r="A86" s="76"/>
      <c r="B86" s="76"/>
      <c r="C86" s="49">
        <v>4260</v>
      </c>
      <c r="D86" s="51" t="s">
        <v>36</v>
      </c>
      <c r="E86" s="390">
        <v>1300</v>
      </c>
      <c r="F86" s="391">
        <v>1300</v>
      </c>
      <c r="G86" s="387">
        <f t="shared" si="18"/>
        <v>100</v>
      </c>
      <c r="H86" s="267">
        <f t="shared" si="21"/>
        <v>1300</v>
      </c>
      <c r="I86" s="391">
        <f t="shared" si="21"/>
        <v>1300</v>
      </c>
      <c r="J86" s="387">
        <f t="shared" si="22"/>
        <v>100</v>
      </c>
      <c r="K86" s="267"/>
      <c r="L86" s="391"/>
      <c r="M86" s="389"/>
    </row>
    <row r="87" spans="1:13" s="17" customFormat="1" ht="11.25">
      <c r="A87" s="36"/>
      <c r="B87" s="36"/>
      <c r="C87" s="31">
        <v>4280</v>
      </c>
      <c r="D87" s="32" t="s">
        <v>226</v>
      </c>
      <c r="E87" s="241">
        <v>250</v>
      </c>
      <c r="F87" s="193">
        <v>250</v>
      </c>
      <c r="G87" s="161">
        <f t="shared" si="18"/>
        <v>100</v>
      </c>
      <c r="H87" s="265">
        <f t="shared" si="21"/>
        <v>250</v>
      </c>
      <c r="I87" s="193">
        <f t="shared" si="21"/>
        <v>250</v>
      </c>
      <c r="J87" s="161">
        <f t="shared" si="22"/>
        <v>100</v>
      </c>
      <c r="K87" s="265"/>
      <c r="L87" s="193"/>
      <c r="M87" s="168"/>
    </row>
    <row r="88" spans="1:13" s="17" customFormat="1" ht="11.25">
      <c r="A88" s="36"/>
      <c r="B88" s="36"/>
      <c r="C88" s="31">
        <v>4300</v>
      </c>
      <c r="D88" s="32" t="s">
        <v>92</v>
      </c>
      <c r="E88" s="241">
        <v>21600</v>
      </c>
      <c r="F88" s="193">
        <v>21283.4</v>
      </c>
      <c r="G88" s="161">
        <f t="shared" si="18"/>
        <v>98.53425925925926</v>
      </c>
      <c r="H88" s="265">
        <f t="shared" si="21"/>
        <v>21600</v>
      </c>
      <c r="I88" s="193">
        <f t="shared" si="21"/>
        <v>21283.4</v>
      </c>
      <c r="J88" s="161">
        <f t="shared" si="22"/>
        <v>98.53425925925926</v>
      </c>
      <c r="K88" s="265"/>
      <c r="L88" s="193"/>
      <c r="M88" s="168"/>
    </row>
    <row r="89" spans="1:13" s="17" customFormat="1" ht="15" customHeight="1">
      <c r="A89" s="36"/>
      <c r="B89" s="36"/>
      <c r="C89" s="31">
        <v>4360</v>
      </c>
      <c r="D89" s="32" t="s">
        <v>209</v>
      </c>
      <c r="E89" s="241">
        <v>1000</v>
      </c>
      <c r="F89" s="193">
        <v>1000</v>
      </c>
      <c r="G89" s="161">
        <f t="shared" si="18"/>
        <v>100</v>
      </c>
      <c r="H89" s="265">
        <f t="shared" si="21"/>
        <v>1000</v>
      </c>
      <c r="I89" s="193">
        <f t="shared" si="21"/>
        <v>1000</v>
      </c>
      <c r="J89" s="161">
        <f t="shared" si="22"/>
        <v>100</v>
      </c>
      <c r="K89" s="265"/>
      <c r="L89" s="193"/>
      <c r="M89" s="168"/>
    </row>
    <row r="90" spans="1:13" s="17" customFormat="1" ht="11.25">
      <c r="A90" s="36"/>
      <c r="B90" s="36"/>
      <c r="C90" s="31">
        <v>4410</v>
      </c>
      <c r="D90" s="32" t="s">
        <v>49</v>
      </c>
      <c r="E90" s="241">
        <v>2686</v>
      </c>
      <c r="F90" s="193">
        <v>2159.78</v>
      </c>
      <c r="G90" s="161">
        <f t="shared" si="18"/>
        <v>80.40878629932988</v>
      </c>
      <c r="H90" s="265">
        <f t="shared" si="21"/>
        <v>2686</v>
      </c>
      <c r="I90" s="193">
        <f t="shared" si="21"/>
        <v>2159.78</v>
      </c>
      <c r="J90" s="161">
        <f t="shared" si="22"/>
        <v>80.40878629932988</v>
      </c>
      <c r="K90" s="265"/>
      <c r="L90" s="193"/>
      <c r="M90" s="168"/>
    </row>
    <row r="91" spans="1:13" s="17" customFormat="1" ht="21">
      <c r="A91" s="36"/>
      <c r="B91" s="36"/>
      <c r="C91" s="31">
        <v>4440</v>
      </c>
      <c r="D91" s="32" t="s">
        <v>63</v>
      </c>
      <c r="E91" s="241">
        <v>7114</v>
      </c>
      <c r="F91" s="193">
        <v>7113.96</v>
      </c>
      <c r="G91" s="161">
        <f>F91*100/E91</f>
        <v>99.99943772842283</v>
      </c>
      <c r="H91" s="265">
        <f>E91</f>
        <v>7114</v>
      </c>
      <c r="I91" s="193">
        <f>F91</f>
        <v>7113.96</v>
      </c>
      <c r="J91" s="161">
        <f t="shared" si="20"/>
        <v>99.99943772842283</v>
      </c>
      <c r="K91" s="265"/>
      <c r="L91" s="193"/>
      <c r="M91" s="168"/>
    </row>
    <row r="92" spans="1:13" s="17" customFormat="1" ht="21">
      <c r="A92" s="46"/>
      <c r="B92" s="46"/>
      <c r="C92" s="41">
        <v>4700</v>
      </c>
      <c r="D92" s="42" t="s">
        <v>140</v>
      </c>
      <c r="E92" s="244">
        <v>5200</v>
      </c>
      <c r="F92" s="190">
        <v>4834.26</v>
      </c>
      <c r="G92" s="160">
        <f>F92*100/E92</f>
        <v>92.96653846153846</v>
      </c>
      <c r="H92" s="266">
        <f>E92</f>
        <v>5200</v>
      </c>
      <c r="I92" s="190">
        <f>F92</f>
        <v>4834.26</v>
      </c>
      <c r="J92" s="160">
        <f>I92*100/H92</f>
        <v>92.96653846153846</v>
      </c>
      <c r="K92" s="266"/>
      <c r="L92" s="190"/>
      <c r="M92" s="176"/>
    </row>
    <row r="93" spans="1:13" s="18" customFormat="1" ht="11.25">
      <c r="A93" s="105"/>
      <c r="B93" s="105">
        <v>75022</v>
      </c>
      <c r="C93" s="105"/>
      <c r="D93" s="107" t="s">
        <v>44</v>
      </c>
      <c r="E93" s="240">
        <f>SUM(E94:E99)</f>
        <v>544900</v>
      </c>
      <c r="F93" s="108">
        <f>SUM(F94:F99)</f>
        <v>534792.77</v>
      </c>
      <c r="G93" s="156">
        <f>F93*100/E93</f>
        <v>98.14512204074143</v>
      </c>
      <c r="H93" s="240">
        <f>SUM(H94:H99)</f>
        <v>529900</v>
      </c>
      <c r="I93" s="108">
        <f>SUM(I94:I99)</f>
        <v>520032.76999999996</v>
      </c>
      <c r="J93" s="240">
        <f t="shared" si="20"/>
        <v>98.13790715229287</v>
      </c>
      <c r="K93" s="240">
        <f>SUM(K94:K99)</f>
        <v>15000</v>
      </c>
      <c r="L93" s="108">
        <f>SUM(L94:L99)</f>
        <v>14760</v>
      </c>
      <c r="M93" s="156">
        <f>L93*100/K93</f>
        <v>98.4</v>
      </c>
    </row>
    <row r="94" spans="1:13" s="17" customFormat="1" ht="11.25">
      <c r="A94" s="36"/>
      <c r="B94" s="36"/>
      <c r="C94" s="19">
        <v>3030</v>
      </c>
      <c r="D94" s="21" t="s">
        <v>46</v>
      </c>
      <c r="E94" s="246">
        <v>486000</v>
      </c>
      <c r="F94" s="192">
        <v>477328.8</v>
      </c>
      <c r="G94" s="162">
        <f>F94*100/E94</f>
        <v>98.21580246913581</v>
      </c>
      <c r="H94" s="264">
        <f aca="true" t="shared" si="23" ref="H94:I97">E94</f>
        <v>486000</v>
      </c>
      <c r="I94" s="192">
        <f t="shared" si="23"/>
        <v>477328.8</v>
      </c>
      <c r="J94" s="162">
        <f t="shared" si="20"/>
        <v>98.21580246913581</v>
      </c>
      <c r="K94" s="264"/>
      <c r="L94" s="192"/>
      <c r="M94" s="177"/>
    </row>
    <row r="95" spans="1:13" s="17" customFormat="1" ht="11.25">
      <c r="A95" s="36"/>
      <c r="B95" s="36"/>
      <c r="C95" s="31">
        <v>4210</v>
      </c>
      <c r="D95" s="32" t="s">
        <v>47</v>
      </c>
      <c r="E95" s="241">
        <v>12400</v>
      </c>
      <c r="F95" s="193">
        <v>12225.61</v>
      </c>
      <c r="G95" s="162">
        <f aca="true" t="shared" si="24" ref="G95:G101">F95*100/E95</f>
        <v>98.59362903225806</v>
      </c>
      <c r="H95" s="264">
        <f t="shared" si="23"/>
        <v>12400</v>
      </c>
      <c r="I95" s="192">
        <f t="shared" si="23"/>
        <v>12225.61</v>
      </c>
      <c r="J95" s="162">
        <f t="shared" si="20"/>
        <v>98.59362903225806</v>
      </c>
      <c r="K95" s="265"/>
      <c r="L95" s="193"/>
      <c r="M95" s="168"/>
    </row>
    <row r="96" spans="1:13" s="17" customFormat="1" ht="11.25">
      <c r="A96" s="36"/>
      <c r="B96" s="36"/>
      <c r="C96" s="31">
        <v>4220</v>
      </c>
      <c r="D96" s="32" t="s">
        <v>227</v>
      </c>
      <c r="E96" s="241">
        <v>10600</v>
      </c>
      <c r="F96" s="193">
        <v>9708.5</v>
      </c>
      <c r="G96" s="162"/>
      <c r="H96" s="264">
        <f>E96</f>
        <v>10600</v>
      </c>
      <c r="I96" s="192">
        <f>F96</f>
        <v>9708.5</v>
      </c>
      <c r="J96" s="162">
        <f>I96*100/H96</f>
        <v>91.58962264150944</v>
      </c>
      <c r="K96" s="265"/>
      <c r="L96" s="193"/>
      <c r="M96" s="168"/>
    </row>
    <row r="97" spans="1:13" s="17" customFormat="1" ht="11.25">
      <c r="A97" s="36"/>
      <c r="B97" s="36"/>
      <c r="C97" s="31">
        <v>4300</v>
      </c>
      <c r="D97" s="32" t="s">
        <v>48</v>
      </c>
      <c r="E97" s="241">
        <v>19400</v>
      </c>
      <c r="F97" s="193">
        <v>19370.2</v>
      </c>
      <c r="G97" s="162">
        <f t="shared" si="24"/>
        <v>99.84639175257732</v>
      </c>
      <c r="H97" s="264">
        <f t="shared" si="23"/>
        <v>19400</v>
      </c>
      <c r="I97" s="192">
        <f t="shared" si="23"/>
        <v>19370.2</v>
      </c>
      <c r="J97" s="162">
        <f t="shared" si="20"/>
        <v>99.84639175257732</v>
      </c>
      <c r="K97" s="265"/>
      <c r="L97" s="193"/>
      <c r="M97" s="168"/>
    </row>
    <row r="98" spans="1:13" s="17" customFormat="1" ht="21">
      <c r="A98" s="36"/>
      <c r="B98" s="36"/>
      <c r="C98" s="33">
        <v>4360</v>
      </c>
      <c r="D98" s="34" t="s">
        <v>209</v>
      </c>
      <c r="E98" s="245">
        <v>1500</v>
      </c>
      <c r="F98" s="194">
        <v>1399.66</v>
      </c>
      <c r="G98" s="162">
        <f t="shared" si="24"/>
        <v>93.31066666666666</v>
      </c>
      <c r="H98" s="264">
        <f>E98</f>
        <v>1500</v>
      </c>
      <c r="I98" s="192">
        <f>F98</f>
        <v>1399.66</v>
      </c>
      <c r="J98" s="162">
        <f>I98*100/H98</f>
        <v>93.31066666666666</v>
      </c>
      <c r="K98" s="263"/>
      <c r="L98" s="194"/>
      <c r="M98" s="178"/>
    </row>
    <row r="99" spans="1:13" s="17" customFormat="1" ht="21">
      <c r="A99" s="36"/>
      <c r="B99" s="36"/>
      <c r="C99" s="33">
        <v>6060</v>
      </c>
      <c r="D99" s="34" t="s">
        <v>117</v>
      </c>
      <c r="E99" s="244">
        <v>15000</v>
      </c>
      <c r="F99" s="190">
        <v>14760</v>
      </c>
      <c r="G99" s="162">
        <f t="shared" si="24"/>
        <v>98.4</v>
      </c>
      <c r="H99" s="265"/>
      <c r="I99" s="193"/>
      <c r="J99" s="161"/>
      <c r="K99" s="266">
        <f>E99</f>
        <v>15000</v>
      </c>
      <c r="L99" s="190">
        <f>F99</f>
        <v>14760</v>
      </c>
      <c r="M99" s="176">
        <f>F99/E99*100</f>
        <v>98.4</v>
      </c>
    </row>
    <row r="100" spans="1:13" s="18" customFormat="1" ht="11.25">
      <c r="A100" s="105"/>
      <c r="B100" s="105">
        <v>75023</v>
      </c>
      <c r="C100" s="105"/>
      <c r="D100" s="107" t="s">
        <v>45</v>
      </c>
      <c r="E100" s="240">
        <f>SUM(E101:E116,E117:E123)</f>
        <v>15638072</v>
      </c>
      <c r="F100" s="108">
        <f>SUM(F101:F116,F117:F123)</f>
        <v>15015621.6</v>
      </c>
      <c r="G100" s="156">
        <f t="shared" si="24"/>
        <v>96.01964743479887</v>
      </c>
      <c r="H100" s="240">
        <f>SUM(H101:H116,H117:H123)</f>
        <v>15422844</v>
      </c>
      <c r="I100" s="108">
        <f>SUM(I101:I116,I117:I123)</f>
        <v>14801378.629999999</v>
      </c>
      <c r="J100" s="108">
        <f t="shared" si="20"/>
        <v>95.97048786851504</v>
      </c>
      <c r="K100" s="240">
        <f>SUM(K101:K116,K117:K123)</f>
        <v>215228</v>
      </c>
      <c r="L100" s="108">
        <f>SUM(L101:L116,L117:L123)</f>
        <v>214242.97</v>
      </c>
      <c r="M100" s="108">
        <f>L100*100/K100</f>
        <v>99.54233185273291</v>
      </c>
    </row>
    <row r="101" spans="1:13" s="17" customFormat="1" ht="11.25">
      <c r="A101" s="33"/>
      <c r="B101" s="33"/>
      <c r="C101" s="31">
        <v>3020</v>
      </c>
      <c r="D101" s="32" t="s">
        <v>116</v>
      </c>
      <c r="E101" s="241">
        <v>35000</v>
      </c>
      <c r="F101" s="193">
        <v>33687.92</v>
      </c>
      <c r="G101" s="161">
        <f t="shared" si="24"/>
        <v>96.2512</v>
      </c>
      <c r="H101" s="265">
        <f>E101</f>
        <v>35000</v>
      </c>
      <c r="I101" s="193">
        <f>F101</f>
        <v>33687.92</v>
      </c>
      <c r="J101" s="161">
        <f t="shared" si="20"/>
        <v>96.2512</v>
      </c>
      <c r="K101" s="265"/>
      <c r="L101" s="193"/>
      <c r="M101" s="168"/>
    </row>
    <row r="102" spans="1:13" s="17" customFormat="1" ht="11.25">
      <c r="A102" s="36"/>
      <c r="B102" s="36"/>
      <c r="C102" s="31">
        <v>4010</v>
      </c>
      <c r="D102" s="32" t="s">
        <v>41</v>
      </c>
      <c r="E102" s="241">
        <v>8897512</v>
      </c>
      <c r="F102" s="193">
        <v>8743791.69</v>
      </c>
      <c r="G102" s="161">
        <f aca="true" t="shared" si="25" ref="G102:G116">F102*100/E102</f>
        <v>98.27232253241131</v>
      </c>
      <c r="H102" s="265">
        <f aca="true" t="shared" si="26" ref="H102:H121">E102</f>
        <v>8897512</v>
      </c>
      <c r="I102" s="193">
        <f aca="true" t="shared" si="27" ref="I102:I121">F102</f>
        <v>8743791.69</v>
      </c>
      <c r="J102" s="161">
        <f aca="true" t="shared" si="28" ref="J102:J121">I102*100/H102</f>
        <v>98.27232253241131</v>
      </c>
      <c r="K102" s="265"/>
      <c r="L102" s="193"/>
      <c r="M102" s="168"/>
    </row>
    <row r="103" spans="1:13" s="17" customFormat="1" ht="11.25">
      <c r="A103" s="36"/>
      <c r="B103" s="36"/>
      <c r="C103" s="31">
        <v>4040</v>
      </c>
      <c r="D103" s="32" t="s">
        <v>42</v>
      </c>
      <c r="E103" s="241">
        <v>591488</v>
      </c>
      <c r="F103" s="193">
        <v>591487.15</v>
      </c>
      <c r="G103" s="161">
        <f t="shared" si="25"/>
        <v>99.99985629463319</v>
      </c>
      <c r="H103" s="265">
        <f t="shared" si="26"/>
        <v>591488</v>
      </c>
      <c r="I103" s="193">
        <f t="shared" si="27"/>
        <v>591487.15</v>
      </c>
      <c r="J103" s="161">
        <f t="shared" si="28"/>
        <v>99.99985629463319</v>
      </c>
      <c r="K103" s="265"/>
      <c r="L103" s="193"/>
      <c r="M103" s="168"/>
    </row>
    <row r="104" spans="1:13" s="17" customFormat="1" ht="11.25">
      <c r="A104" s="36"/>
      <c r="B104" s="36"/>
      <c r="C104" s="19">
        <v>4100</v>
      </c>
      <c r="D104" s="21" t="s">
        <v>178</v>
      </c>
      <c r="E104" s="246">
        <v>250000</v>
      </c>
      <c r="F104" s="192">
        <v>234949</v>
      </c>
      <c r="G104" s="162">
        <f t="shared" si="25"/>
        <v>93.9796</v>
      </c>
      <c r="H104" s="264">
        <f t="shared" si="26"/>
        <v>250000</v>
      </c>
      <c r="I104" s="192">
        <f t="shared" si="27"/>
        <v>234949</v>
      </c>
      <c r="J104" s="162">
        <f t="shared" si="28"/>
        <v>93.9796</v>
      </c>
      <c r="K104" s="264"/>
      <c r="L104" s="192"/>
      <c r="M104" s="177"/>
    </row>
    <row r="105" spans="1:13" s="17" customFormat="1" ht="11.25">
      <c r="A105" s="36"/>
      <c r="B105" s="36"/>
      <c r="C105" s="31">
        <v>4110</v>
      </c>
      <c r="D105" s="32" t="s">
        <v>43</v>
      </c>
      <c r="E105" s="241">
        <v>1580000</v>
      </c>
      <c r="F105" s="193">
        <v>1533193.05</v>
      </c>
      <c r="G105" s="161">
        <f t="shared" si="25"/>
        <v>97.03753481012659</v>
      </c>
      <c r="H105" s="265">
        <f t="shared" si="26"/>
        <v>1580000</v>
      </c>
      <c r="I105" s="193">
        <f t="shared" si="27"/>
        <v>1533193.05</v>
      </c>
      <c r="J105" s="161">
        <f t="shared" si="28"/>
        <v>97.03753481012659</v>
      </c>
      <c r="K105" s="265"/>
      <c r="L105" s="193"/>
      <c r="M105" s="168"/>
    </row>
    <row r="106" spans="1:13" s="17" customFormat="1" ht="11.25">
      <c r="A106" s="36"/>
      <c r="B106" s="36"/>
      <c r="C106" s="31">
        <v>4120</v>
      </c>
      <c r="D106" s="32" t="s">
        <v>34</v>
      </c>
      <c r="E106" s="241">
        <v>150000</v>
      </c>
      <c r="F106" s="193">
        <v>142299.73</v>
      </c>
      <c r="G106" s="161">
        <f t="shared" si="25"/>
        <v>94.86648666666667</v>
      </c>
      <c r="H106" s="265">
        <f t="shared" si="26"/>
        <v>150000</v>
      </c>
      <c r="I106" s="193">
        <f t="shared" si="27"/>
        <v>142299.73</v>
      </c>
      <c r="J106" s="161">
        <f t="shared" si="28"/>
        <v>94.86648666666667</v>
      </c>
      <c r="K106" s="265"/>
      <c r="L106" s="193"/>
      <c r="M106" s="168"/>
    </row>
    <row r="107" spans="1:13" s="17" customFormat="1" ht="11.25">
      <c r="A107" s="36"/>
      <c r="B107" s="36"/>
      <c r="C107" s="31">
        <v>4140</v>
      </c>
      <c r="D107" s="32" t="s">
        <v>50</v>
      </c>
      <c r="E107" s="241">
        <v>52134</v>
      </c>
      <c r="F107" s="193">
        <v>52134</v>
      </c>
      <c r="G107" s="161">
        <f t="shared" si="25"/>
        <v>100</v>
      </c>
      <c r="H107" s="265">
        <f t="shared" si="26"/>
        <v>52134</v>
      </c>
      <c r="I107" s="193">
        <f t="shared" si="27"/>
        <v>52134</v>
      </c>
      <c r="J107" s="161">
        <f t="shared" si="28"/>
        <v>100</v>
      </c>
      <c r="K107" s="265"/>
      <c r="L107" s="193"/>
      <c r="M107" s="168"/>
    </row>
    <row r="108" spans="1:13" s="17" customFormat="1" ht="11.25">
      <c r="A108" s="36"/>
      <c r="B108" s="36"/>
      <c r="C108" s="31">
        <v>4170</v>
      </c>
      <c r="D108" s="32" t="s">
        <v>114</v>
      </c>
      <c r="E108" s="241">
        <v>470000</v>
      </c>
      <c r="F108" s="193">
        <v>452531.73</v>
      </c>
      <c r="G108" s="161">
        <f t="shared" si="25"/>
        <v>96.28334680851064</v>
      </c>
      <c r="H108" s="265">
        <f t="shared" si="26"/>
        <v>470000</v>
      </c>
      <c r="I108" s="193">
        <f t="shared" si="27"/>
        <v>452531.73</v>
      </c>
      <c r="J108" s="161">
        <f t="shared" si="28"/>
        <v>96.28334680851064</v>
      </c>
      <c r="K108" s="265"/>
      <c r="L108" s="193"/>
      <c r="M108" s="168"/>
    </row>
    <row r="109" spans="1:13" s="17" customFormat="1" ht="11.25">
      <c r="A109" s="36"/>
      <c r="B109" s="36"/>
      <c r="C109" s="31">
        <v>4210</v>
      </c>
      <c r="D109" s="32" t="s">
        <v>35</v>
      </c>
      <c r="E109" s="241">
        <v>784000</v>
      </c>
      <c r="F109" s="193">
        <v>670644.53</v>
      </c>
      <c r="G109" s="161">
        <f t="shared" si="25"/>
        <v>85.54139413265307</v>
      </c>
      <c r="H109" s="265">
        <f t="shared" si="26"/>
        <v>784000</v>
      </c>
      <c r="I109" s="193">
        <f t="shared" si="27"/>
        <v>670644.53</v>
      </c>
      <c r="J109" s="161">
        <f t="shared" si="28"/>
        <v>85.54139413265307</v>
      </c>
      <c r="K109" s="265"/>
      <c r="L109" s="193"/>
      <c r="M109" s="168"/>
    </row>
    <row r="110" spans="1:13" s="17" customFormat="1" ht="11.25">
      <c r="A110" s="36"/>
      <c r="B110" s="36"/>
      <c r="C110" s="31">
        <v>4220</v>
      </c>
      <c r="D110" s="32" t="s">
        <v>228</v>
      </c>
      <c r="E110" s="241">
        <v>26000</v>
      </c>
      <c r="F110" s="193">
        <v>24941.09</v>
      </c>
      <c r="G110" s="161">
        <f t="shared" si="25"/>
        <v>95.92726923076923</v>
      </c>
      <c r="H110" s="265">
        <f t="shared" si="26"/>
        <v>26000</v>
      </c>
      <c r="I110" s="193">
        <f t="shared" si="27"/>
        <v>24941.09</v>
      </c>
      <c r="J110" s="161">
        <f t="shared" si="28"/>
        <v>95.92726923076923</v>
      </c>
      <c r="K110" s="265"/>
      <c r="L110" s="193"/>
      <c r="M110" s="168"/>
    </row>
    <row r="111" spans="1:13" s="17" customFormat="1" ht="11.25">
      <c r="A111" s="36"/>
      <c r="B111" s="36"/>
      <c r="C111" s="31">
        <v>4260</v>
      </c>
      <c r="D111" s="32" t="s">
        <v>36</v>
      </c>
      <c r="E111" s="241">
        <v>166530</v>
      </c>
      <c r="F111" s="193">
        <v>136498.8</v>
      </c>
      <c r="G111" s="161">
        <f t="shared" si="25"/>
        <v>81.96649252386956</v>
      </c>
      <c r="H111" s="265">
        <f t="shared" si="26"/>
        <v>166530</v>
      </c>
      <c r="I111" s="193">
        <f t="shared" si="27"/>
        <v>136498.8</v>
      </c>
      <c r="J111" s="161">
        <f t="shared" si="28"/>
        <v>81.96649252386956</v>
      </c>
      <c r="K111" s="265"/>
      <c r="L111" s="193"/>
      <c r="M111" s="168"/>
    </row>
    <row r="112" spans="1:13" s="17" customFormat="1" ht="11.25">
      <c r="A112" s="36"/>
      <c r="B112" s="36"/>
      <c r="C112" s="31">
        <v>4270</v>
      </c>
      <c r="D112" s="32" t="s">
        <v>119</v>
      </c>
      <c r="E112" s="241">
        <v>140766</v>
      </c>
      <c r="F112" s="193">
        <v>140097.54</v>
      </c>
      <c r="G112" s="161">
        <f t="shared" si="25"/>
        <v>99.525126806189</v>
      </c>
      <c r="H112" s="265">
        <f t="shared" si="26"/>
        <v>140766</v>
      </c>
      <c r="I112" s="193">
        <f t="shared" si="27"/>
        <v>140097.54</v>
      </c>
      <c r="J112" s="161">
        <f t="shared" si="28"/>
        <v>99.525126806189</v>
      </c>
      <c r="K112" s="265"/>
      <c r="L112" s="193"/>
      <c r="M112" s="168"/>
    </row>
    <row r="113" spans="1:13" s="17" customFormat="1" ht="11.25">
      <c r="A113" s="36"/>
      <c r="B113" s="36"/>
      <c r="C113" s="19">
        <v>4280</v>
      </c>
      <c r="D113" s="21" t="s">
        <v>51</v>
      </c>
      <c r="E113" s="246">
        <v>11000</v>
      </c>
      <c r="F113" s="192">
        <v>10286.2</v>
      </c>
      <c r="G113" s="162">
        <f t="shared" si="25"/>
        <v>93.5109090909091</v>
      </c>
      <c r="H113" s="264">
        <f t="shared" si="26"/>
        <v>11000</v>
      </c>
      <c r="I113" s="192">
        <f t="shared" si="27"/>
        <v>10286.2</v>
      </c>
      <c r="J113" s="162">
        <f t="shared" si="28"/>
        <v>93.5109090909091</v>
      </c>
      <c r="K113" s="264"/>
      <c r="L113" s="192"/>
      <c r="M113" s="177"/>
    </row>
    <row r="114" spans="1:13" s="17" customFormat="1" ht="11.25">
      <c r="A114" s="36"/>
      <c r="B114" s="36"/>
      <c r="C114" s="31">
        <v>4300</v>
      </c>
      <c r="D114" s="32" t="s">
        <v>39</v>
      </c>
      <c r="E114" s="241">
        <v>1684282</v>
      </c>
      <c r="F114" s="193">
        <v>1469694.7</v>
      </c>
      <c r="G114" s="161">
        <f t="shared" si="25"/>
        <v>87.25941974087475</v>
      </c>
      <c r="H114" s="265">
        <f t="shared" si="26"/>
        <v>1684282</v>
      </c>
      <c r="I114" s="193">
        <f t="shared" si="27"/>
        <v>1469694.7</v>
      </c>
      <c r="J114" s="161">
        <f t="shared" si="28"/>
        <v>87.25941974087475</v>
      </c>
      <c r="K114" s="265"/>
      <c r="L114" s="193"/>
      <c r="M114" s="168"/>
    </row>
    <row r="115" spans="1:13" s="17" customFormat="1" ht="21">
      <c r="A115" s="36"/>
      <c r="B115" s="36"/>
      <c r="C115" s="31">
        <v>4360</v>
      </c>
      <c r="D115" s="32" t="s">
        <v>209</v>
      </c>
      <c r="E115" s="241">
        <v>122200</v>
      </c>
      <c r="F115" s="193">
        <v>115816.31</v>
      </c>
      <c r="G115" s="161">
        <f t="shared" si="25"/>
        <v>94.77603109656302</v>
      </c>
      <c r="H115" s="265">
        <f t="shared" si="26"/>
        <v>122200</v>
      </c>
      <c r="I115" s="193">
        <f t="shared" si="27"/>
        <v>115816.31</v>
      </c>
      <c r="J115" s="161">
        <f t="shared" si="28"/>
        <v>94.77603109656302</v>
      </c>
      <c r="K115" s="265"/>
      <c r="L115" s="193"/>
      <c r="M115" s="168"/>
    </row>
    <row r="116" spans="1:13" s="17" customFormat="1" ht="11.25">
      <c r="A116" s="36"/>
      <c r="B116" s="36"/>
      <c r="C116" s="31">
        <v>4410</v>
      </c>
      <c r="D116" s="32" t="s">
        <v>49</v>
      </c>
      <c r="E116" s="241">
        <v>115000</v>
      </c>
      <c r="F116" s="193">
        <v>114739.83</v>
      </c>
      <c r="G116" s="161">
        <f t="shared" si="25"/>
        <v>99.7737652173913</v>
      </c>
      <c r="H116" s="265">
        <f t="shared" si="26"/>
        <v>115000</v>
      </c>
      <c r="I116" s="193">
        <f t="shared" si="27"/>
        <v>114739.83</v>
      </c>
      <c r="J116" s="161">
        <f t="shared" si="28"/>
        <v>99.7737652173913</v>
      </c>
      <c r="K116" s="265"/>
      <c r="L116" s="193"/>
      <c r="M116" s="168"/>
    </row>
    <row r="117" spans="1:13" s="17" customFormat="1" ht="11.25">
      <c r="A117" s="36"/>
      <c r="B117" s="36"/>
      <c r="C117" s="31">
        <v>4430</v>
      </c>
      <c r="D117" s="32" t="s">
        <v>118</v>
      </c>
      <c r="E117" s="241">
        <v>51000</v>
      </c>
      <c r="F117" s="193">
        <v>50502</v>
      </c>
      <c r="G117" s="161">
        <f aca="true" t="shared" si="29" ref="G117:G130">F117*100/E117</f>
        <v>99.02352941176471</v>
      </c>
      <c r="H117" s="265">
        <f t="shared" si="26"/>
        <v>51000</v>
      </c>
      <c r="I117" s="193">
        <f t="shared" si="27"/>
        <v>50502</v>
      </c>
      <c r="J117" s="161">
        <f t="shared" si="28"/>
        <v>99.02352941176471</v>
      </c>
      <c r="K117" s="265"/>
      <c r="L117" s="193"/>
      <c r="M117" s="168"/>
    </row>
    <row r="118" spans="1:13" s="17" customFormat="1" ht="21">
      <c r="A118" s="36"/>
      <c r="B118" s="36"/>
      <c r="C118" s="31">
        <v>4440</v>
      </c>
      <c r="D118" s="32" t="s">
        <v>63</v>
      </c>
      <c r="E118" s="241">
        <v>137162</v>
      </c>
      <c r="F118" s="193">
        <v>137161.1</v>
      </c>
      <c r="G118" s="161">
        <f t="shared" si="29"/>
        <v>99.99934384158878</v>
      </c>
      <c r="H118" s="265">
        <f t="shared" si="26"/>
        <v>137162</v>
      </c>
      <c r="I118" s="193">
        <f t="shared" si="27"/>
        <v>137161.1</v>
      </c>
      <c r="J118" s="161">
        <f t="shared" si="28"/>
        <v>99.99934384158878</v>
      </c>
      <c r="K118" s="265"/>
      <c r="L118" s="193"/>
      <c r="M118" s="168"/>
    </row>
    <row r="119" spans="1:13" s="17" customFormat="1" ht="11.25">
      <c r="A119" s="46"/>
      <c r="B119" s="46"/>
      <c r="C119" s="46">
        <v>4520</v>
      </c>
      <c r="D119" s="94" t="s">
        <v>200</v>
      </c>
      <c r="E119" s="247">
        <v>9770</v>
      </c>
      <c r="F119" s="202">
        <v>9763.36</v>
      </c>
      <c r="G119" s="166">
        <f t="shared" si="29"/>
        <v>99.93203684749233</v>
      </c>
      <c r="H119" s="269">
        <f t="shared" si="26"/>
        <v>9770</v>
      </c>
      <c r="I119" s="202">
        <f t="shared" si="27"/>
        <v>9763.36</v>
      </c>
      <c r="J119" s="166">
        <f t="shared" si="28"/>
        <v>99.93203684749233</v>
      </c>
      <c r="K119" s="269"/>
      <c r="L119" s="202"/>
      <c r="M119" s="175"/>
    </row>
    <row r="120" spans="1:13" s="17" customFormat="1" ht="21">
      <c r="A120" s="36"/>
      <c r="B120" s="36"/>
      <c r="C120" s="19">
        <v>4610</v>
      </c>
      <c r="D120" s="21" t="s">
        <v>131</v>
      </c>
      <c r="E120" s="246">
        <v>20000</v>
      </c>
      <c r="F120" s="192">
        <v>18854.6</v>
      </c>
      <c r="G120" s="162">
        <f t="shared" si="29"/>
        <v>94.27299999999998</v>
      </c>
      <c r="H120" s="264">
        <f t="shared" si="26"/>
        <v>20000</v>
      </c>
      <c r="I120" s="192">
        <f t="shared" si="27"/>
        <v>18854.6</v>
      </c>
      <c r="J120" s="162">
        <f t="shared" si="28"/>
        <v>94.27299999999998</v>
      </c>
      <c r="K120" s="264"/>
      <c r="L120" s="192"/>
      <c r="M120" s="177"/>
    </row>
    <row r="121" spans="1:13" s="17" customFormat="1" ht="21">
      <c r="A121" s="36"/>
      <c r="B121" s="36"/>
      <c r="C121" s="31">
        <v>4700</v>
      </c>
      <c r="D121" s="32" t="s">
        <v>140</v>
      </c>
      <c r="E121" s="241">
        <v>129000</v>
      </c>
      <c r="F121" s="193">
        <v>118304.3</v>
      </c>
      <c r="G121" s="161">
        <f t="shared" si="29"/>
        <v>91.70875968992249</v>
      </c>
      <c r="H121" s="265">
        <f t="shared" si="26"/>
        <v>129000</v>
      </c>
      <c r="I121" s="193">
        <f t="shared" si="27"/>
        <v>118304.3</v>
      </c>
      <c r="J121" s="161">
        <f t="shared" si="28"/>
        <v>91.70875968992249</v>
      </c>
      <c r="K121" s="265"/>
      <c r="L121" s="193"/>
      <c r="M121" s="168"/>
    </row>
    <row r="122" spans="1:13" s="17" customFormat="1" ht="11.25">
      <c r="A122" s="36"/>
      <c r="B122" s="36"/>
      <c r="C122" s="33">
        <v>6050</v>
      </c>
      <c r="D122" s="34" t="s">
        <v>210</v>
      </c>
      <c r="E122" s="245">
        <v>100000</v>
      </c>
      <c r="F122" s="194">
        <v>99015</v>
      </c>
      <c r="G122" s="161">
        <f t="shared" si="29"/>
        <v>99.015</v>
      </c>
      <c r="H122" s="265"/>
      <c r="I122" s="193"/>
      <c r="J122" s="161"/>
      <c r="K122" s="263">
        <v>100000</v>
      </c>
      <c r="L122" s="194">
        <v>99015</v>
      </c>
      <c r="M122" s="178">
        <v>99.015</v>
      </c>
    </row>
    <row r="123" spans="1:13" s="17" customFormat="1" ht="21">
      <c r="A123" s="46"/>
      <c r="B123" s="46"/>
      <c r="C123" s="41">
        <v>6060</v>
      </c>
      <c r="D123" s="42" t="s">
        <v>117</v>
      </c>
      <c r="E123" s="244">
        <v>115228</v>
      </c>
      <c r="F123" s="190">
        <v>115227.97</v>
      </c>
      <c r="G123" s="161">
        <f t="shared" si="29"/>
        <v>99.99997396466136</v>
      </c>
      <c r="H123" s="265"/>
      <c r="I123" s="193"/>
      <c r="J123" s="161"/>
      <c r="K123" s="266">
        <f>E123</f>
        <v>115228</v>
      </c>
      <c r="L123" s="190">
        <f>F123</f>
        <v>115227.97</v>
      </c>
      <c r="M123" s="176">
        <f>F123/E123*100</f>
        <v>99.99997396466136</v>
      </c>
    </row>
    <row r="124" spans="1:13" s="17" customFormat="1" ht="21">
      <c r="A124" s="290"/>
      <c r="B124" s="290">
        <v>75023</v>
      </c>
      <c r="C124" s="290"/>
      <c r="D124" s="289" t="s">
        <v>283</v>
      </c>
      <c r="E124" s="291">
        <f>SUM(E125:E130)</f>
        <v>8915</v>
      </c>
      <c r="F124" s="108">
        <f>SUM(F125:F130)</f>
        <v>8908.39</v>
      </c>
      <c r="G124" s="293">
        <f t="shared" si="29"/>
        <v>99.92585530005609</v>
      </c>
      <c r="H124" s="291">
        <f>SUM(H125:H130)</f>
        <v>8915</v>
      </c>
      <c r="I124" s="108">
        <f>SUM(I125:I130)</f>
        <v>8908.39</v>
      </c>
      <c r="J124" s="293">
        <f>I124*100/H124</f>
        <v>99.92585530005609</v>
      </c>
      <c r="K124" s="291"/>
      <c r="L124" s="292"/>
      <c r="M124" s="293"/>
    </row>
    <row r="125" spans="1:13" s="17" customFormat="1" ht="11.25">
      <c r="A125" s="395"/>
      <c r="B125" s="395"/>
      <c r="C125" s="31">
        <v>4017</v>
      </c>
      <c r="D125" s="32" t="s">
        <v>41</v>
      </c>
      <c r="E125" s="241">
        <v>5960</v>
      </c>
      <c r="F125" s="193">
        <v>5956.79</v>
      </c>
      <c r="G125" s="161">
        <f t="shared" si="29"/>
        <v>99.94614093959731</v>
      </c>
      <c r="H125" s="265">
        <f aca="true" t="shared" si="30" ref="H125:H130">E125</f>
        <v>5960</v>
      </c>
      <c r="I125" s="193">
        <f aca="true" t="shared" si="31" ref="I125:I130">F125</f>
        <v>5956.79</v>
      </c>
      <c r="J125" s="193">
        <f aca="true" t="shared" si="32" ref="J125:J130">G125</f>
        <v>99.94614093959731</v>
      </c>
      <c r="K125" s="265"/>
      <c r="L125" s="193"/>
      <c r="M125" s="168"/>
    </row>
    <row r="126" spans="1:13" s="17" customFormat="1" ht="11.25">
      <c r="A126" s="396"/>
      <c r="B126" s="396"/>
      <c r="C126" s="31">
        <v>4019</v>
      </c>
      <c r="D126" s="32" t="s">
        <v>41</v>
      </c>
      <c r="E126" s="241">
        <v>1490</v>
      </c>
      <c r="F126" s="193">
        <v>1489.21</v>
      </c>
      <c r="G126" s="161">
        <f t="shared" si="29"/>
        <v>99.94697986577181</v>
      </c>
      <c r="H126" s="265">
        <f t="shared" si="30"/>
        <v>1490</v>
      </c>
      <c r="I126" s="193">
        <f t="shared" si="31"/>
        <v>1489.21</v>
      </c>
      <c r="J126" s="161">
        <f t="shared" si="32"/>
        <v>99.94697986577181</v>
      </c>
      <c r="K126" s="265"/>
      <c r="L126" s="193"/>
      <c r="M126" s="168"/>
    </row>
    <row r="127" spans="1:13" s="17" customFormat="1" ht="11.25">
      <c r="A127" s="396"/>
      <c r="B127" s="396"/>
      <c r="C127" s="31">
        <v>4117</v>
      </c>
      <c r="D127" s="32" t="s">
        <v>43</v>
      </c>
      <c r="E127" s="241">
        <v>1024</v>
      </c>
      <c r="F127" s="193">
        <v>1023.97</v>
      </c>
      <c r="G127" s="161">
        <f t="shared" si="29"/>
        <v>99.9970703125</v>
      </c>
      <c r="H127" s="265">
        <f t="shared" si="30"/>
        <v>1024</v>
      </c>
      <c r="I127" s="193">
        <f t="shared" si="31"/>
        <v>1023.97</v>
      </c>
      <c r="J127" s="161">
        <f t="shared" si="32"/>
        <v>99.9970703125</v>
      </c>
      <c r="K127" s="265"/>
      <c r="L127" s="193"/>
      <c r="M127" s="168"/>
    </row>
    <row r="128" spans="1:13" s="17" customFormat="1" ht="11.25">
      <c r="A128" s="396"/>
      <c r="B128" s="396"/>
      <c r="C128" s="31">
        <v>4119</v>
      </c>
      <c r="D128" s="32" t="s">
        <v>43</v>
      </c>
      <c r="E128" s="241">
        <v>256</v>
      </c>
      <c r="F128" s="193">
        <v>256</v>
      </c>
      <c r="G128" s="161">
        <f t="shared" si="29"/>
        <v>100</v>
      </c>
      <c r="H128" s="265">
        <f t="shared" si="30"/>
        <v>256</v>
      </c>
      <c r="I128" s="193">
        <f t="shared" si="31"/>
        <v>256</v>
      </c>
      <c r="J128" s="161">
        <f t="shared" si="32"/>
        <v>100</v>
      </c>
      <c r="K128" s="265"/>
      <c r="L128" s="193"/>
      <c r="M128" s="168"/>
    </row>
    <row r="129" spans="1:13" s="17" customFormat="1" ht="11.25">
      <c r="A129" s="396"/>
      <c r="B129" s="396"/>
      <c r="C129" s="31">
        <v>4127</v>
      </c>
      <c r="D129" s="32" t="s">
        <v>34</v>
      </c>
      <c r="E129" s="241">
        <v>148</v>
      </c>
      <c r="F129" s="193">
        <v>145.94</v>
      </c>
      <c r="G129" s="161">
        <f t="shared" si="29"/>
        <v>98.60810810810811</v>
      </c>
      <c r="H129" s="265">
        <f t="shared" si="30"/>
        <v>148</v>
      </c>
      <c r="I129" s="193">
        <f t="shared" si="31"/>
        <v>145.94</v>
      </c>
      <c r="J129" s="161">
        <f t="shared" si="32"/>
        <v>98.60810810810811</v>
      </c>
      <c r="K129" s="265"/>
      <c r="L129" s="193"/>
      <c r="M129" s="168"/>
    </row>
    <row r="130" spans="1:13" s="17" customFormat="1" ht="11.25">
      <c r="A130" s="397"/>
      <c r="B130" s="397"/>
      <c r="C130" s="31">
        <v>4129</v>
      </c>
      <c r="D130" s="32" t="s">
        <v>34</v>
      </c>
      <c r="E130" s="241">
        <v>37</v>
      </c>
      <c r="F130" s="193">
        <v>36.48</v>
      </c>
      <c r="G130" s="161">
        <f t="shared" si="29"/>
        <v>98.59459459459458</v>
      </c>
      <c r="H130" s="265">
        <f t="shared" si="30"/>
        <v>37</v>
      </c>
      <c r="I130" s="193">
        <f t="shared" si="31"/>
        <v>36.48</v>
      </c>
      <c r="J130" s="161">
        <f t="shared" si="32"/>
        <v>98.59459459459458</v>
      </c>
      <c r="K130" s="265"/>
      <c r="L130" s="193"/>
      <c r="M130" s="168"/>
    </row>
    <row r="131" spans="1:13" s="17" customFormat="1" ht="21">
      <c r="A131" s="105"/>
      <c r="B131" s="105">
        <v>75075</v>
      </c>
      <c r="C131" s="105"/>
      <c r="D131" s="107" t="s">
        <v>120</v>
      </c>
      <c r="E131" s="240">
        <f>SUM(E132:E139)</f>
        <v>1090238</v>
      </c>
      <c r="F131" s="108">
        <f>SUM(F132:F139)</f>
        <v>1047567.9700000001</v>
      </c>
      <c r="G131" s="156">
        <f aca="true" t="shared" si="33" ref="G131:G140">F131*100/E131</f>
        <v>96.08617292737917</v>
      </c>
      <c r="H131" s="240">
        <f>SUM(H132:H139)</f>
        <v>1090238</v>
      </c>
      <c r="I131" s="108">
        <f>SUM(I132:I139)</f>
        <v>1047567.9700000001</v>
      </c>
      <c r="J131" s="156">
        <f aca="true" t="shared" si="34" ref="J131:J139">I131*100/H131</f>
        <v>96.08617292737917</v>
      </c>
      <c r="K131" s="240"/>
      <c r="L131" s="108"/>
      <c r="M131" s="156"/>
    </row>
    <row r="132" spans="1:13" s="17" customFormat="1" ht="11.25">
      <c r="A132" s="36"/>
      <c r="B132" s="36"/>
      <c r="C132" s="31">
        <v>4110</v>
      </c>
      <c r="D132" s="32" t="s">
        <v>43</v>
      </c>
      <c r="E132" s="241">
        <v>2700</v>
      </c>
      <c r="F132" s="64">
        <v>1392.39</v>
      </c>
      <c r="G132" s="109">
        <f t="shared" si="33"/>
        <v>51.57</v>
      </c>
      <c r="H132" s="65">
        <f aca="true" t="shared" si="35" ref="H132:I139">E132</f>
        <v>2700</v>
      </c>
      <c r="I132" s="64">
        <f t="shared" si="35"/>
        <v>1392.39</v>
      </c>
      <c r="J132" s="109">
        <f t="shared" si="34"/>
        <v>51.57</v>
      </c>
      <c r="K132" s="265"/>
      <c r="L132" s="193"/>
      <c r="M132" s="168"/>
    </row>
    <row r="133" spans="1:13" s="17" customFormat="1" ht="11.25">
      <c r="A133" s="36"/>
      <c r="B133" s="36"/>
      <c r="C133" s="31">
        <v>4120</v>
      </c>
      <c r="D133" s="32" t="s">
        <v>34</v>
      </c>
      <c r="E133" s="241">
        <v>200</v>
      </c>
      <c r="F133" s="64">
        <v>100.45</v>
      </c>
      <c r="G133" s="109">
        <f t="shared" si="33"/>
        <v>50.225</v>
      </c>
      <c r="H133" s="65">
        <f t="shared" si="35"/>
        <v>200</v>
      </c>
      <c r="I133" s="64">
        <f t="shared" si="35"/>
        <v>100.45</v>
      </c>
      <c r="J133" s="109">
        <f t="shared" si="34"/>
        <v>50.225</v>
      </c>
      <c r="K133" s="265"/>
      <c r="L133" s="193"/>
      <c r="M133" s="168"/>
    </row>
    <row r="134" spans="1:13" s="17" customFormat="1" ht="11.25">
      <c r="A134" s="36"/>
      <c r="B134" s="36"/>
      <c r="C134" s="31">
        <v>4170</v>
      </c>
      <c r="D134" s="32" t="s">
        <v>114</v>
      </c>
      <c r="E134" s="241">
        <v>22800</v>
      </c>
      <c r="F134" s="64">
        <v>22389.93</v>
      </c>
      <c r="G134" s="109">
        <f t="shared" si="33"/>
        <v>98.20144736842106</v>
      </c>
      <c r="H134" s="65">
        <f t="shared" si="35"/>
        <v>22800</v>
      </c>
      <c r="I134" s="64">
        <f t="shared" si="35"/>
        <v>22389.93</v>
      </c>
      <c r="J134" s="109">
        <f t="shared" si="34"/>
        <v>98.20144736842106</v>
      </c>
      <c r="K134" s="265"/>
      <c r="L134" s="193"/>
      <c r="M134" s="168"/>
    </row>
    <row r="135" spans="1:13" s="17" customFormat="1" ht="11.25">
      <c r="A135" s="36"/>
      <c r="B135" s="36"/>
      <c r="C135" s="31">
        <v>4190</v>
      </c>
      <c r="D135" s="32" t="s">
        <v>215</v>
      </c>
      <c r="E135" s="241">
        <v>6500</v>
      </c>
      <c r="F135" s="193">
        <v>6497.42</v>
      </c>
      <c r="G135" s="161">
        <f t="shared" si="33"/>
        <v>99.9603076923077</v>
      </c>
      <c r="H135" s="65">
        <f t="shared" si="35"/>
        <v>6500</v>
      </c>
      <c r="I135" s="64">
        <f t="shared" si="35"/>
        <v>6497.42</v>
      </c>
      <c r="J135" s="109">
        <f t="shared" si="34"/>
        <v>99.9603076923077</v>
      </c>
      <c r="K135" s="265"/>
      <c r="L135" s="193"/>
      <c r="M135" s="168"/>
    </row>
    <row r="136" spans="1:13" s="17" customFormat="1" ht="11.25">
      <c r="A136" s="36"/>
      <c r="B136" s="36"/>
      <c r="C136" s="31">
        <v>4210</v>
      </c>
      <c r="D136" s="32" t="s">
        <v>35</v>
      </c>
      <c r="E136" s="241">
        <v>26438</v>
      </c>
      <c r="F136" s="193">
        <v>21469.76</v>
      </c>
      <c r="G136" s="161">
        <f t="shared" si="33"/>
        <v>81.2079582419245</v>
      </c>
      <c r="H136" s="265">
        <f t="shared" si="35"/>
        <v>26438</v>
      </c>
      <c r="I136" s="193">
        <f t="shared" si="35"/>
        <v>21469.76</v>
      </c>
      <c r="J136" s="161">
        <f t="shared" si="34"/>
        <v>81.2079582419245</v>
      </c>
      <c r="K136" s="265"/>
      <c r="L136" s="193"/>
      <c r="M136" s="168"/>
    </row>
    <row r="137" spans="1:13" s="17" customFormat="1" ht="11.25">
      <c r="A137" s="36"/>
      <c r="B137" s="36"/>
      <c r="C137" s="31">
        <v>4220</v>
      </c>
      <c r="D137" s="32" t="s">
        <v>228</v>
      </c>
      <c r="E137" s="241">
        <v>2900</v>
      </c>
      <c r="F137" s="193">
        <v>2855.35</v>
      </c>
      <c r="G137" s="162">
        <f t="shared" si="33"/>
        <v>98.46034482758621</v>
      </c>
      <c r="H137" s="264">
        <f t="shared" si="35"/>
        <v>2900</v>
      </c>
      <c r="I137" s="192">
        <f t="shared" si="35"/>
        <v>2855.35</v>
      </c>
      <c r="J137" s="162">
        <f t="shared" si="34"/>
        <v>98.46034482758621</v>
      </c>
      <c r="K137" s="263"/>
      <c r="L137" s="194"/>
      <c r="M137" s="178"/>
    </row>
    <row r="138" spans="1:13" s="17" customFormat="1" ht="11.25">
      <c r="A138" s="36"/>
      <c r="B138" s="36"/>
      <c r="C138" s="31">
        <v>4270</v>
      </c>
      <c r="D138" s="32" t="s">
        <v>54</v>
      </c>
      <c r="E138" s="241">
        <v>100</v>
      </c>
      <c r="F138" s="193">
        <v>0</v>
      </c>
      <c r="G138" s="162">
        <f t="shared" si="33"/>
        <v>0</v>
      </c>
      <c r="H138" s="264">
        <f t="shared" si="35"/>
        <v>100</v>
      </c>
      <c r="I138" s="192">
        <f t="shared" si="35"/>
        <v>0</v>
      </c>
      <c r="J138" s="162">
        <f t="shared" si="34"/>
        <v>0</v>
      </c>
      <c r="K138" s="263"/>
      <c r="L138" s="194"/>
      <c r="M138" s="178"/>
    </row>
    <row r="139" spans="1:13" s="17" customFormat="1" ht="11.25">
      <c r="A139" s="36"/>
      <c r="B139" s="36"/>
      <c r="C139" s="33">
        <v>4300</v>
      </c>
      <c r="D139" s="34" t="s">
        <v>39</v>
      </c>
      <c r="E139" s="245">
        <v>1028600</v>
      </c>
      <c r="F139" s="194">
        <v>992862.67</v>
      </c>
      <c r="G139" s="164">
        <f t="shared" si="33"/>
        <v>96.52563387128136</v>
      </c>
      <c r="H139" s="263">
        <f t="shared" si="35"/>
        <v>1028600</v>
      </c>
      <c r="I139" s="194">
        <f t="shared" si="35"/>
        <v>992862.67</v>
      </c>
      <c r="J139" s="164">
        <f t="shared" si="34"/>
        <v>96.52563387128136</v>
      </c>
      <c r="K139" s="263"/>
      <c r="L139" s="194"/>
      <c r="M139" s="178"/>
    </row>
    <row r="140" spans="1:13" s="17" customFormat="1" ht="21">
      <c r="A140" s="105"/>
      <c r="B140" s="105">
        <v>75085</v>
      </c>
      <c r="C140" s="105"/>
      <c r="D140" s="107" t="s">
        <v>229</v>
      </c>
      <c r="E140" s="240">
        <f>SUM(E141:E160)</f>
        <v>2723000</v>
      </c>
      <c r="F140" s="108">
        <f>SUM(F141:F160)</f>
        <v>2644483.94</v>
      </c>
      <c r="G140" s="156">
        <f t="shared" si="33"/>
        <v>97.11656041131106</v>
      </c>
      <c r="H140" s="240">
        <f>SUM(H141:H160)</f>
        <v>2723000</v>
      </c>
      <c r="I140" s="108">
        <f>SUM(I141:I160)</f>
        <v>2644483.94</v>
      </c>
      <c r="J140" s="156">
        <f>I140*100/H140</f>
        <v>97.11656041131106</v>
      </c>
      <c r="K140" s="240"/>
      <c r="L140" s="108"/>
      <c r="M140" s="108"/>
    </row>
    <row r="141" spans="1:13" s="17" customFormat="1" ht="11.25">
      <c r="A141" s="36"/>
      <c r="B141" s="33"/>
      <c r="C141" s="312">
        <v>3020</v>
      </c>
      <c r="D141" s="343" t="s">
        <v>230</v>
      </c>
      <c r="E141" s="241">
        <v>6800</v>
      </c>
      <c r="F141" s="193">
        <v>6065</v>
      </c>
      <c r="G141" s="161">
        <f>100*F141/E141</f>
        <v>89.19117647058823</v>
      </c>
      <c r="H141" s="265">
        <f>E141</f>
        <v>6800</v>
      </c>
      <c r="I141" s="193">
        <f>F141</f>
        <v>6065</v>
      </c>
      <c r="J141" s="161">
        <f aca="true" t="shared" si="36" ref="J141:J160">I141*100/H141</f>
        <v>89.19117647058823</v>
      </c>
      <c r="K141" s="265"/>
      <c r="L141" s="193"/>
      <c r="M141" s="168"/>
    </row>
    <row r="142" spans="1:13" s="17" customFormat="1" ht="11.25">
      <c r="A142" s="36"/>
      <c r="B142" s="36"/>
      <c r="C142" s="312">
        <v>4010</v>
      </c>
      <c r="D142" s="343" t="s">
        <v>231</v>
      </c>
      <c r="E142" s="241">
        <v>1330970</v>
      </c>
      <c r="F142" s="193">
        <v>1324751.24</v>
      </c>
      <c r="G142" s="161">
        <f aca="true" t="shared" si="37" ref="G142:G160">100*F142/E142</f>
        <v>99.53276482565347</v>
      </c>
      <c r="H142" s="265">
        <f aca="true" t="shared" si="38" ref="H142:H160">E142</f>
        <v>1330970</v>
      </c>
      <c r="I142" s="193">
        <f aca="true" t="shared" si="39" ref="I142:I160">F142</f>
        <v>1324751.24</v>
      </c>
      <c r="J142" s="161">
        <f t="shared" si="36"/>
        <v>99.53276482565347</v>
      </c>
      <c r="K142" s="265"/>
      <c r="L142" s="193"/>
      <c r="M142" s="168"/>
    </row>
    <row r="143" spans="1:13" s="17" customFormat="1" ht="11.25">
      <c r="A143" s="36"/>
      <c r="B143" s="36"/>
      <c r="C143" s="312">
        <v>4040</v>
      </c>
      <c r="D143" s="343" t="s">
        <v>91</v>
      </c>
      <c r="E143" s="241">
        <v>99030</v>
      </c>
      <c r="F143" s="193">
        <v>99029.37</v>
      </c>
      <c r="G143" s="161">
        <f t="shared" si="37"/>
        <v>99.99936382914268</v>
      </c>
      <c r="H143" s="265">
        <f t="shared" si="38"/>
        <v>99030</v>
      </c>
      <c r="I143" s="193">
        <f t="shared" si="39"/>
        <v>99029.37</v>
      </c>
      <c r="J143" s="161">
        <f t="shared" si="36"/>
        <v>99.99936382914268</v>
      </c>
      <c r="K143" s="265"/>
      <c r="L143" s="193"/>
      <c r="M143" s="168"/>
    </row>
    <row r="144" spans="1:13" s="17" customFormat="1" ht="11.25">
      <c r="A144" s="36"/>
      <c r="B144" s="36"/>
      <c r="C144" s="312">
        <v>4110</v>
      </c>
      <c r="D144" s="343" t="s">
        <v>43</v>
      </c>
      <c r="E144" s="241">
        <v>250000</v>
      </c>
      <c r="F144" s="193">
        <v>237249.12</v>
      </c>
      <c r="G144" s="161">
        <f t="shared" si="37"/>
        <v>94.899648</v>
      </c>
      <c r="H144" s="265">
        <f t="shared" si="38"/>
        <v>250000</v>
      </c>
      <c r="I144" s="193">
        <f t="shared" si="39"/>
        <v>237249.12</v>
      </c>
      <c r="J144" s="161">
        <f t="shared" si="36"/>
        <v>94.899648</v>
      </c>
      <c r="K144" s="265"/>
      <c r="L144" s="193"/>
      <c r="M144" s="168"/>
    </row>
    <row r="145" spans="1:13" s="17" customFormat="1" ht="11.25">
      <c r="A145" s="36"/>
      <c r="B145" s="36"/>
      <c r="C145" s="312">
        <v>4120</v>
      </c>
      <c r="D145" s="343" t="s">
        <v>34</v>
      </c>
      <c r="E145" s="241">
        <v>27000</v>
      </c>
      <c r="F145" s="193">
        <v>22876.86</v>
      </c>
      <c r="G145" s="161">
        <f t="shared" si="37"/>
        <v>84.72911111111111</v>
      </c>
      <c r="H145" s="265">
        <f t="shared" si="38"/>
        <v>27000</v>
      </c>
      <c r="I145" s="193">
        <f t="shared" si="39"/>
        <v>22876.86</v>
      </c>
      <c r="J145" s="161">
        <f t="shared" si="36"/>
        <v>84.72911111111111</v>
      </c>
      <c r="K145" s="265"/>
      <c r="L145" s="193"/>
      <c r="M145" s="168"/>
    </row>
    <row r="146" spans="1:13" s="17" customFormat="1" ht="11.25">
      <c r="A146" s="36"/>
      <c r="B146" s="36"/>
      <c r="C146" s="312">
        <v>4170</v>
      </c>
      <c r="D146" s="343" t="s">
        <v>114</v>
      </c>
      <c r="E146" s="241">
        <v>189500</v>
      </c>
      <c r="F146" s="193">
        <v>181093.63</v>
      </c>
      <c r="G146" s="161">
        <f t="shared" si="37"/>
        <v>95.56392084432717</v>
      </c>
      <c r="H146" s="265">
        <f t="shared" si="38"/>
        <v>189500</v>
      </c>
      <c r="I146" s="193">
        <f t="shared" si="39"/>
        <v>181093.63</v>
      </c>
      <c r="J146" s="161">
        <f t="shared" si="36"/>
        <v>95.56392084432717</v>
      </c>
      <c r="K146" s="265"/>
      <c r="L146" s="193"/>
      <c r="M146" s="168"/>
    </row>
    <row r="147" spans="1:13" s="17" customFormat="1" ht="11.25">
      <c r="A147" s="36"/>
      <c r="B147" s="36"/>
      <c r="C147" s="312">
        <v>4190</v>
      </c>
      <c r="D147" s="343" t="s">
        <v>215</v>
      </c>
      <c r="E147" s="241">
        <v>2400</v>
      </c>
      <c r="F147" s="193">
        <v>2379.53</v>
      </c>
      <c r="G147" s="161">
        <f t="shared" si="37"/>
        <v>99.14708333333334</v>
      </c>
      <c r="H147" s="265">
        <f t="shared" si="38"/>
        <v>2400</v>
      </c>
      <c r="I147" s="193">
        <f t="shared" si="39"/>
        <v>2379.53</v>
      </c>
      <c r="J147" s="161">
        <f t="shared" si="36"/>
        <v>99.14708333333334</v>
      </c>
      <c r="K147" s="265"/>
      <c r="L147" s="193"/>
      <c r="M147" s="168"/>
    </row>
    <row r="148" spans="1:13" s="17" customFormat="1" ht="11.25">
      <c r="A148" s="36"/>
      <c r="B148" s="36"/>
      <c r="C148" s="312">
        <v>4210</v>
      </c>
      <c r="D148" s="343" t="s">
        <v>35</v>
      </c>
      <c r="E148" s="241">
        <v>86235</v>
      </c>
      <c r="F148" s="193">
        <v>83542.78</v>
      </c>
      <c r="G148" s="161">
        <f t="shared" si="37"/>
        <v>96.87804255812605</v>
      </c>
      <c r="H148" s="265">
        <f t="shared" si="38"/>
        <v>86235</v>
      </c>
      <c r="I148" s="193">
        <f t="shared" si="39"/>
        <v>83542.78</v>
      </c>
      <c r="J148" s="161">
        <f t="shared" si="36"/>
        <v>96.87804255812605</v>
      </c>
      <c r="K148" s="265"/>
      <c r="L148" s="193"/>
      <c r="M148" s="168"/>
    </row>
    <row r="149" spans="1:13" s="17" customFormat="1" ht="11.25">
      <c r="A149" s="36"/>
      <c r="B149" s="36"/>
      <c r="C149" s="312">
        <v>4220</v>
      </c>
      <c r="D149" s="343" t="s">
        <v>228</v>
      </c>
      <c r="E149" s="241">
        <v>3000</v>
      </c>
      <c r="F149" s="193">
        <v>2659.09</v>
      </c>
      <c r="G149" s="161">
        <f t="shared" si="37"/>
        <v>88.63633333333334</v>
      </c>
      <c r="H149" s="265">
        <f t="shared" si="38"/>
        <v>3000</v>
      </c>
      <c r="I149" s="193">
        <f t="shared" si="39"/>
        <v>2659.09</v>
      </c>
      <c r="J149" s="161">
        <f t="shared" si="36"/>
        <v>88.63633333333334</v>
      </c>
      <c r="K149" s="265"/>
      <c r="L149" s="193"/>
      <c r="M149" s="168"/>
    </row>
    <row r="150" spans="1:13" s="17" customFormat="1" ht="11.25">
      <c r="A150" s="36"/>
      <c r="B150" s="36"/>
      <c r="C150" s="312">
        <v>4260</v>
      </c>
      <c r="D150" s="343" t="s">
        <v>61</v>
      </c>
      <c r="E150" s="241">
        <v>26000</v>
      </c>
      <c r="F150" s="193">
        <v>24915.64</v>
      </c>
      <c r="G150" s="161">
        <f t="shared" si="37"/>
        <v>95.82938461538461</v>
      </c>
      <c r="H150" s="265">
        <f t="shared" si="38"/>
        <v>26000</v>
      </c>
      <c r="I150" s="193">
        <f t="shared" si="39"/>
        <v>24915.64</v>
      </c>
      <c r="J150" s="161">
        <f t="shared" si="36"/>
        <v>95.82938461538461</v>
      </c>
      <c r="K150" s="265"/>
      <c r="L150" s="193"/>
      <c r="M150" s="168"/>
    </row>
    <row r="151" spans="1:13" s="17" customFormat="1" ht="11.25">
      <c r="A151" s="36"/>
      <c r="B151" s="36"/>
      <c r="C151" s="312">
        <v>4270</v>
      </c>
      <c r="D151" s="343" t="s">
        <v>119</v>
      </c>
      <c r="E151" s="241">
        <v>32000</v>
      </c>
      <c r="F151" s="193">
        <v>31278.41</v>
      </c>
      <c r="G151" s="161">
        <f t="shared" si="37"/>
        <v>97.74503125</v>
      </c>
      <c r="H151" s="265">
        <f t="shared" si="38"/>
        <v>32000</v>
      </c>
      <c r="I151" s="193">
        <f t="shared" si="39"/>
        <v>31278.41</v>
      </c>
      <c r="J151" s="161">
        <f t="shared" si="36"/>
        <v>97.74503125</v>
      </c>
      <c r="K151" s="265"/>
      <c r="L151" s="193"/>
      <c r="M151" s="168"/>
    </row>
    <row r="152" spans="1:13" s="17" customFormat="1" ht="11.25">
      <c r="A152" s="36"/>
      <c r="B152" s="36"/>
      <c r="C152" s="312">
        <v>4280</v>
      </c>
      <c r="D152" s="343" t="s">
        <v>51</v>
      </c>
      <c r="E152" s="241">
        <v>3300</v>
      </c>
      <c r="F152" s="193">
        <v>2449</v>
      </c>
      <c r="G152" s="161">
        <f t="shared" si="37"/>
        <v>74.21212121212122</v>
      </c>
      <c r="H152" s="265">
        <f t="shared" si="38"/>
        <v>3300</v>
      </c>
      <c r="I152" s="193">
        <f t="shared" si="39"/>
        <v>2449</v>
      </c>
      <c r="J152" s="161">
        <f t="shared" si="36"/>
        <v>74.21212121212122</v>
      </c>
      <c r="K152" s="265"/>
      <c r="L152" s="193"/>
      <c r="M152" s="168"/>
    </row>
    <row r="153" spans="1:13" s="17" customFormat="1" ht="11.25">
      <c r="A153" s="46"/>
      <c r="B153" s="46"/>
      <c r="C153" s="430">
        <v>4300</v>
      </c>
      <c r="D153" s="42" t="s">
        <v>39</v>
      </c>
      <c r="E153" s="244">
        <v>593000</v>
      </c>
      <c r="F153" s="190">
        <v>558207.94</v>
      </c>
      <c r="G153" s="160">
        <f t="shared" si="37"/>
        <v>94.13287352445192</v>
      </c>
      <c r="H153" s="266">
        <f t="shared" si="38"/>
        <v>593000</v>
      </c>
      <c r="I153" s="190">
        <f t="shared" si="39"/>
        <v>558207.94</v>
      </c>
      <c r="J153" s="160">
        <f t="shared" si="36"/>
        <v>94.13287352445192</v>
      </c>
      <c r="K153" s="266"/>
      <c r="L153" s="190"/>
      <c r="M153" s="176"/>
    </row>
    <row r="154" spans="1:13" s="17" customFormat="1" ht="21">
      <c r="A154" s="36"/>
      <c r="B154" s="36"/>
      <c r="C154" s="19">
        <v>4360</v>
      </c>
      <c r="D154" s="428" t="s">
        <v>209</v>
      </c>
      <c r="E154" s="246">
        <v>11500</v>
      </c>
      <c r="F154" s="192">
        <v>10977.09</v>
      </c>
      <c r="G154" s="162">
        <f t="shared" si="37"/>
        <v>95.45295652173913</v>
      </c>
      <c r="H154" s="264">
        <f t="shared" si="38"/>
        <v>11500</v>
      </c>
      <c r="I154" s="192">
        <f t="shared" si="39"/>
        <v>10977.09</v>
      </c>
      <c r="J154" s="162">
        <f t="shared" si="36"/>
        <v>95.45295652173913</v>
      </c>
      <c r="K154" s="264"/>
      <c r="L154" s="192"/>
      <c r="M154" s="177"/>
    </row>
    <row r="155" spans="1:13" s="17" customFormat="1" ht="11.25">
      <c r="A155" s="36"/>
      <c r="B155" s="36"/>
      <c r="C155" s="312">
        <v>4410</v>
      </c>
      <c r="D155" s="343" t="s">
        <v>49</v>
      </c>
      <c r="E155" s="241">
        <v>18000</v>
      </c>
      <c r="F155" s="193">
        <v>15647.9</v>
      </c>
      <c r="G155" s="161">
        <f t="shared" si="37"/>
        <v>86.93277777777777</v>
      </c>
      <c r="H155" s="265">
        <f t="shared" si="38"/>
        <v>18000</v>
      </c>
      <c r="I155" s="193">
        <f t="shared" si="39"/>
        <v>15647.9</v>
      </c>
      <c r="J155" s="161">
        <f t="shared" si="36"/>
        <v>86.93277777777777</v>
      </c>
      <c r="K155" s="265"/>
      <c r="L155" s="193"/>
      <c r="M155" s="168"/>
    </row>
    <row r="156" spans="1:13" s="17" customFormat="1" ht="11.25">
      <c r="A156" s="36"/>
      <c r="B156" s="36"/>
      <c r="C156" s="312">
        <v>4430</v>
      </c>
      <c r="D156" s="343" t="s">
        <v>118</v>
      </c>
      <c r="E156" s="241">
        <v>1100</v>
      </c>
      <c r="F156" s="193">
        <v>141</v>
      </c>
      <c r="G156" s="161">
        <f t="shared" si="37"/>
        <v>12.818181818181818</v>
      </c>
      <c r="H156" s="265">
        <f t="shared" si="38"/>
        <v>1100</v>
      </c>
      <c r="I156" s="193">
        <f t="shared" si="39"/>
        <v>141</v>
      </c>
      <c r="J156" s="161">
        <f t="shared" si="36"/>
        <v>12.818181818181818</v>
      </c>
      <c r="K156" s="265"/>
      <c r="L156" s="193"/>
      <c r="M156" s="168"/>
    </row>
    <row r="157" spans="1:13" s="17" customFormat="1" ht="21">
      <c r="A157" s="36"/>
      <c r="B157" s="36"/>
      <c r="C157" s="312">
        <v>4440</v>
      </c>
      <c r="D157" s="343" t="s">
        <v>63</v>
      </c>
      <c r="E157" s="241">
        <v>19065</v>
      </c>
      <c r="F157" s="193">
        <v>19065</v>
      </c>
      <c r="G157" s="161">
        <f t="shared" si="37"/>
        <v>100</v>
      </c>
      <c r="H157" s="265">
        <f t="shared" si="38"/>
        <v>19065</v>
      </c>
      <c r="I157" s="193">
        <f t="shared" si="39"/>
        <v>19065</v>
      </c>
      <c r="J157" s="161">
        <f t="shared" si="36"/>
        <v>100</v>
      </c>
      <c r="K157" s="265"/>
      <c r="L157" s="193"/>
      <c r="M157" s="168"/>
    </row>
    <row r="158" spans="1:13" s="17" customFormat="1" ht="11.25">
      <c r="A158" s="36"/>
      <c r="B158" s="36"/>
      <c r="C158" s="31">
        <v>4480</v>
      </c>
      <c r="D158" s="343" t="s">
        <v>198</v>
      </c>
      <c r="E158" s="241">
        <v>1000</v>
      </c>
      <c r="F158" s="193">
        <v>983</v>
      </c>
      <c r="G158" s="161">
        <f t="shared" si="37"/>
        <v>98.3</v>
      </c>
      <c r="H158" s="265">
        <f t="shared" si="38"/>
        <v>1000</v>
      </c>
      <c r="I158" s="193">
        <f t="shared" si="39"/>
        <v>983</v>
      </c>
      <c r="J158" s="161">
        <f t="shared" si="36"/>
        <v>98.3</v>
      </c>
      <c r="K158" s="265"/>
      <c r="L158" s="193"/>
      <c r="M158" s="168"/>
    </row>
    <row r="159" spans="1:13" s="17" customFormat="1" ht="21">
      <c r="A159" s="36"/>
      <c r="B159" s="36"/>
      <c r="C159" s="311">
        <v>4520</v>
      </c>
      <c r="D159" s="428" t="s">
        <v>201</v>
      </c>
      <c r="E159" s="246">
        <v>5500</v>
      </c>
      <c r="F159" s="192">
        <v>4160</v>
      </c>
      <c r="G159" s="162">
        <f t="shared" si="37"/>
        <v>75.63636363636364</v>
      </c>
      <c r="H159" s="264">
        <f t="shared" si="38"/>
        <v>5500</v>
      </c>
      <c r="I159" s="192">
        <f t="shared" si="39"/>
        <v>4160</v>
      </c>
      <c r="J159" s="162">
        <f t="shared" si="36"/>
        <v>75.63636363636364</v>
      </c>
      <c r="K159" s="264"/>
      <c r="L159" s="192"/>
      <c r="M159" s="177"/>
    </row>
    <row r="160" spans="1:13" s="17" customFormat="1" ht="73.5">
      <c r="A160" s="36"/>
      <c r="B160" s="36"/>
      <c r="C160" s="312">
        <v>4700</v>
      </c>
      <c r="D160" s="343" t="s">
        <v>232</v>
      </c>
      <c r="E160" s="241">
        <v>17600</v>
      </c>
      <c r="F160" s="193">
        <v>17012.34</v>
      </c>
      <c r="G160" s="161">
        <f t="shared" si="37"/>
        <v>96.66102272727272</v>
      </c>
      <c r="H160" s="265">
        <f t="shared" si="38"/>
        <v>17600</v>
      </c>
      <c r="I160" s="193">
        <f t="shared" si="39"/>
        <v>17012.34</v>
      </c>
      <c r="J160" s="161">
        <f t="shared" si="36"/>
        <v>96.66102272727272</v>
      </c>
      <c r="K160" s="265"/>
      <c r="L160" s="193"/>
      <c r="M160" s="168"/>
    </row>
    <row r="161" spans="1:13" s="17" customFormat="1" ht="11.25">
      <c r="A161" s="290"/>
      <c r="B161" s="290">
        <v>75095</v>
      </c>
      <c r="C161" s="290"/>
      <c r="D161" s="289" t="s">
        <v>254</v>
      </c>
      <c r="E161" s="291">
        <f>SUM(E162:E165)</f>
        <v>123000</v>
      </c>
      <c r="F161" s="292">
        <f>SUM(F162:F165)</f>
        <v>97699.82999999999</v>
      </c>
      <c r="G161" s="293">
        <f>F161*100/E161</f>
        <v>79.43075609756096</v>
      </c>
      <c r="H161" s="291">
        <f>SUM(H162:H165)</f>
        <v>123000</v>
      </c>
      <c r="I161" s="292">
        <f>SUM(I162:I165)</f>
        <v>97699.82999999999</v>
      </c>
      <c r="J161" s="293">
        <f>I161*100/H161</f>
        <v>79.43075609756096</v>
      </c>
      <c r="K161" s="291"/>
      <c r="L161" s="292"/>
      <c r="M161" s="293"/>
    </row>
    <row r="162" spans="1:13" s="17" customFormat="1" ht="11.25">
      <c r="A162" s="36"/>
      <c r="B162" s="36"/>
      <c r="C162" s="19">
        <v>3030</v>
      </c>
      <c r="D162" s="21" t="s">
        <v>46</v>
      </c>
      <c r="E162" s="246">
        <v>36000</v>
      </c>
      <c r="F162" s="20">
        <v>35400</v>
      </c>
      <c r="G162" s="20">
        <f>F162*100/E162</f>
        <v>98.33333333333333</v>
      </c>
      <c r="H162" s="246">
        <f>E162</f>
        <v>36000</v>
      </c>
      <c r="I162" s="20">
        <f>F162</f>
        <v>35400</v>
      </c>
      <c r="J162" s="20">
        <f>G162</f>
        <v>98.33333333333333</v>
      </c>
      <c r="K162" s="246"/>
      <c r="L162" s="246"/>
      <c r="M162" s="246"/>
    </row>
    <row r="163" spans="1:13" s="17" customFormat="1" ht="11.25">
      <c r="A163" s="36"/>
      <c r="B163" s="36"/>
      <c r="C163" s="343">
        <v>4210</v>
      </c>
      <c r="D163" s="241" t="s">
        <v>35</v>
      </c>
      <c r="E163" s="265">
        <v>1000</v>
      </c>
      <c r="F163" s="161">
        <v>990</v>
      </c>
      <c r="G163" s="193">
        <f>F163*100/E163</f>
        <v>99</v>
      </c>
      <c r="H163" s="246">
        <f>E163</f>
        <v>1000</v>
      </c>
      <c r="I163" s="20">
        <f aca="true" t="shared" si="40" ref="H163:I165">F163</f>
        <v>990</v>
      </c>
      <c r="J163" s="193">
        <f>I163*100/H163</f>
        <v>99</v>
      </c>
      <c r="K163" s="193"/>
      <c r="L163" s="404"/>
      <c r="M163" s="32"/>
    </row>
    <row r="164" spans="1:13" s="17" customFormat="1" ht="11.25">
      <c r="A164" s="36"/>
      <c r="B164" s="36"/>
      <c r="C164" s="343">
        <v>4300</v>
      </c>
      <c r="D164" s="241" t="s">
        <v>39</v>
      </c>
      <c r="E164" s="265">
        <v>39800</v>
      </c>
      <c r="F164" s="20">
        <v>39743.93</v>
      </c>
      <c r="G164" s="193">
        <f>F164*100/E164</f>
        <v>99.85912060301507</v>
      </c>
      <c r="H164" s="193">
        <f t="shared" si="40"/>
        <v>39800</v>
      </c>
      <c r="I164" s="20">
        <f t="shared" si="40"/>
        <v>39743.93</v>
      </c>
      <c r="J164" s="193">
        <f>I164*100/H164</f>
        <v>99.85912060301507</v>
      </c>
      <c r="K164" s="193"/>
      <c r="L164" s="404"/>
      <c r="M164" s="32"/>
    </row>
    <row r="165" spans="1:13" s="17" customFormat="1" ht="11.25">
      <c r="A165" s="36"/>
      <c r="B165" s="36"/>
      <c r="C165" s="343">
        <v>4430</v>
      </c>
      <c r="D165" s="241" t="s">
        <v>118</v>
      </c>
      <c r="E165" s="265">
        <v>46200</v>
      </c>
      <c r="F165" s="20">
        <v>21565.9</v>
      </c>
      <c r="G165" s="193">
        <f>F165*100/E165</f>
        <v>46.67943722943723</v>
      </c>
      <c r="H165" s="193">
        <f t="shared" si="40"/>
        <v>46200</v>
      </c>
      <c r="I165" s="20">
        <f t="shared" si="40"/>
        <v>21565.9</v>
      </c>
      <c r="J165" s="193">
        <f>I165*100/H165</f>
        <v>46.67943722943723</v>
      </c>
      <c r="K165" s="193"/>
      <c r="L165" s="404"/>
      <c r="M165" s="32"/>
    </row>
    <row r="166" spans="1:13" s="17" customFormat="1" ht="60" customHeight="1">
      <c r="A166" s="290"/>
      <c r="B166" s="290">
        <v>75095</v>
      </c>
      <c r="C166" s="290"/>
      <c r="D166" s="289" t="s">
        <v>216</v>
      </c>
      <c r="E166" s="291">
        <f>SUM(E167:E172)</f>
        <v>12000</v>
      </c>
      <c r="F166" s="108">
        <f>SUM(F167:F172)</f>
        <v>10799.91</v>
      </c>
      <c r="G166" s="293">
        <f aca="true" t="shared" si="41" ref="G166:G171">F166*100/E166</f>
        <v>89.99925</v>
      </c>
      <c r="H166" s="291">
        <f>SUM(H167:H172)</f>
        <v>12000</v>
      </c>
      <c r="I166" s="108">
        <f>SUM(I167:I172)</f>
        <v>10799.91</v>
      </c>
      <c r="J166" s="293">
        <f aca="true" t="shared" si="42" ref="J166:J171">I166*100/H166</f>
        <v>89.99925</v>
      </c>
      <c r="K166" s="291"/>
      <c r="L166" s="292"/>
      <c r="M166" s="293"/>
    </row>
    <row r="167" spans="1:13" s="17" customFormat="1" ht="11.25">
      <c r="A167" s="36"/>
      <c r="B167" s="36"/>
      <c r="C167" s="311">
        <v>4018</v>
      </c>
      <c r="D167" s="21" t="s">
        <v>41</v>
      </c>
      <c r="E167" s="246">
        <v>7673</v>
      </c>
      <c r="F167" s="72">
        <v>6905.64</v>
      </c>
      <c r="G167" s="146">
        <f t="shared" si="41"/>
        <v>89.99921803727355</v>
      </c>
      <c r="H167" s="71">
        <f aca="true" t="shared" si="43" ref="H167:I172">E167</f>
        <v>7673</v>
      </c>
      <c r="I167" s="72">
        <f t="shared" si="43"/>
        <v>6905.64</v>
      </c>
      <c r="J167" s="146">
        <f t="shared" si="42"/>
        <v>89.99921803727355</v>
      </c>
      <c r="K167" s="264"/>
      <c r="L167" s="192"/>
      <c r="M167" s="177"/>
    </row>
    <row r="168" spans="1:13" s="406" customFormat="1" ht="11.25">
      <c r="A168" s="62"/>
      <c r="B168" s="62"/>
      <c r="C168" s="405">
        <v>4019</v>
      </c>
      <c r="D168" s="63" t="s">
        <v>41</v>
      </c>
      <c r="E168" s="57">
        <v>2357</v>
      </c>
      <c r="F168" s="64">
        <v>2121.36</v>
      </c>
      <c r="G168" s="109">
        <f t="shared" si="41"/>
        <v>90.00254560882478</v>
      </c>
      <c r="H168" s="65">
        <f t="shared" si="43"/>
        <v>2357</v>
      </c>
      <c r="I168" s="64">
        <f t="shared" si="43"/>
        <v>2121.36</v>
      </c>
      <c r="J168" s="109">
        <f t="shared" si="42"/>
        <v>90.00254560882478</v>
      </c>
      <c r="K168" s="65"/>
      <c r="L168" s="64"/>
      <c r="M168" s="168"/>
    </row>
    <row r="169" spans="1:13" s="406" customFormat="1" ht="11.25">
      <c r="A169" s="62"/>
      <c r="B169" s="62"/>
      <c r="C169" s="405">
        <v>4118</v>
      </c>
      <c r="D169" s="63" t="s">
        <v>43</v>
      </c>
      <c r="E169" s="57">
        <v>1319</v>
      </c>
      <c r="F169" s="64">
        <v>1187.07</v>
      </c>
      <c r="G169" s="109">
        <f t="shared" si="41"/>
        <v>89.99772554965884</v>
      </c>
      <c r="H169" s="65">
        <f t="shared" si="43"/>
        <v>1319</v>
      </c>
      <c r="I169" s="64">
        <f t="shared" si="43"/>
        <v>1187.07</v>
      </c>
      <c r="J169" s="109">
        <f t="shared" si="42"/>
        <v>89.99772554965884</v>
      </c>
      <c r="K169" s="65"/>
      <c r="L169" s="64"/>
      <c r="M169" s="168"/>
    </row>
    <row r="170" spans="1:13" s="406" customFormat="1" ht="11.25">
      <c r="A170" s="62"/>
      <c r="B170" s="62"/>
      <c r="C170" s="330">
        <v>4119</v>
      </c>
      <c r="D170" s="407" t="s">
        <v>43</v>
      </c>
      <c r="E170" s="61">
        <v>405</v>
      </c>
      <c r="F170" s="72">
        <v>364.68</v>
      </c>
      <c r="G170" s="146">
        <f>F170*100/E170</f>
        <v>90.04444444444445</v>
      </c>
      <c r="H170" s="71">
        <f t="shared" si="43"/>
        <v>405</v>
      </c>
      <c r="I170" s="72">
        <f t="shared" si="43"/>
        <v>364.68</v>
      </c>
      <c r="J170" s="146">
        <f>I170*100/H170</f>
        <v>90.04444444444445</v>
      </c>
      <c r="K170" s="71"/>
      <c r="L170" s="72"/>
      <c r="M170" s="177"/>
    </row>
    <row r="171" spans="1:13" s="406" customFormat="1" ht="11.25">
      <c r="A171" s="62"/>
      <c r="B171" s="62"/>
      <c r="C171" s="73">
        <v>4128</v>
      </c>
      <c r="D171" s="63" t="s">
        <v>34</v>
      </c>
      <c r="E171" s="57">
        <v>188</v>
      </c>
      <c r="F171" s="64">
        <v>169.2</v>
      </c>
      <c r="G171" s="109">
        <f t="shared" si="41"/>
        <v>90</v>
      </c>
      <c r="H171" s="65">
        <f t="shared" si="43"/>
        <v>188</v>
      </c>
      <c r="I171" s="64">
        <f t="shared" si="43"/>
        <v>169.2</v>
      </c>
      <c r="J171" s="109">
        <f t="shared" si="42"/>
        <v>90</v>
      </c>
      <c r="K171" s="65"/>
      <c r="L171" s="64"/>
      <c r="M171" s="168"/>
    </row>
    <row r="172" spans="1:13" s="406" customFormat="1" ht="11.25">
      <c r="A172" s="408"/>
      <c r="B172" s="408"/>
      <c r="C172" s="360">
        <v>4129</v>
      </c>
      <c r="D172" s="409" t="s">
        <v>34</v>
      </c>
      <c r="E172" s="59">
        <v>58</v>
      </c>
      <c r="F172" s="188">
        <v>51.96</v>
      </c>
      <c r="G172" s="159">
        <f aca="true" t="shared" si="44" ref="G172:G185">F172*100/E172</f>
        <v>89.58620689655173</v>
      </c>
      <c r="H172" s="260">
        <f t="shared" si="43"/>
        <v>58</v>
      </c>
      <c r="I172" s="188">
        <f t="shared" si="43"/>
        <v>51.96</v>
      </c>
      <c r="J172" s="159">
        <f aca="true" t="shared" si="45" ref="J172:J183">I172*100/H172</f>
        <v>89.58620689655173</v>
      </c>
      <c r="K172" s="260"/>
      <c r="L172" s="188"/>
      <c r="M172" s="176"/>
    </row>
    <row r="173" spans="1:13" s="17" customFormat="1" ht="39.75" customHeight="1">
      <c r="A173" s="66">
        <v>751</v>
      </c>
      <c r="B173" s="66"/>
      <c r="C173" s="66"/>
      <c r="D173" s="67" t="s">
        <v>132</v>
      </c>
      <c r="E173" s="68">
        <f>E174+E177</f>
        <v>212305</v>
      </c>
      <c r="F173" s="69">
        <f>F174+F177</f>
        <v>158599.74000000002</v>
      </c>
      <c r="G173" s="154">
        <f t="shared" si="44"/>
        <v>74.70372341678247</v>
      </c>
      <c r="H173" s="68">
        <f>H174+H177</f>
        <v>212305</v>
      </c>
      <c r="I173" s="69">
        <f>I174+I177</f>
        <v>158599.74000000002</v>
      </c>
      <c r="J173" s="154">
        <f t="shared" si="45"/>
        <v>74.70372341678247</v>
      </c>
      <c r="K173" s="68"/>
      <c r="L173" s="69"/>
      <c r="M173" s="154"/>
    </row>
    <row r="174" spans="1:13" s="17" customFormat="1" ht="21">
      <c r="A174" s="105"/>
      <c r="B174" s="105">
        <v>75101</v>
      </c>
      <c r="C174" s="105"/>
      <c r="D174" s="107" t="s">
        <v>268</v>
      </c>
      <c r="E174" s="240">
        <f>SUM(E175:E176)</f>
        <v>4600</v>
      </c>
      <c r="F174" s="108">
        <f>SUM(F175:F176)</f>
        <v>4553.22</v>
      </c>
      <c r="G174" s="156">
        <f t="shared" si="44"/>
        <v>98.98304347826087</v>
      </c>
      <c r="H174" s="240">
        <f>SUM(H175:H176)</f>
        <v>4600</v>
      </c>
      <c r="I174" s="108">
        <f>SUM(I175:I176)</f>
        <v>4553.22</v>
      </c>
      <c r="J174" s="156">
        <f t="shared" si="45"/>
        <v>98.98304347826087</v>
      </c>
      <c r="K174" s="240"/>
      <c r="L174" s="108"/>
      <c r="M174" s="156"/>
    </row>
    <row r="175" spans="1:13" s="17" customFormat="1" ht="11.25">
      <c r="A175" s="36"/>
      <c r="B175" s="36"/>
      <c r="C175" s="31">
        <v>4110</v>
      </c>
      <c r="D175" s="32" t="s">
        <v>43</v>
      </c>
      <c r="E175" s="246">
        <v>700</v>
      </c>
      <c r="F175" s="192">
        <v>653.22</v>
      </c>
      <c r="G175" s="146">
        <f t="shared" si="44"/>
        <v>93.31714285714285</v>
      </c>
      <c r="H175" s="264">
        <f>E175</f>
        <v>700</v>
      </c>
      <c r="I175" s="192">
        <f>F175</f>
        <v>653.22</v>
      </c>
      <c r="J175" s="162">
        <f t="shared" si="45"/>
        <v>93.31714285714285</v>
      </c>
      <c r="K175" s="264"/>
      <c r="L175" s="192"/>
      <c r="M175" s="177"/>
    </row>
    <row r="176" spans="1:13" s="17" customFormat="1" ht="11.25">
      <c r="A176" s="46"/>
      <c r="B176" s="46"/>
      <c r="C176" s="41">
        <v>4170</v>
      </c>
      <c r="D176" s="42" t="s">
        <v>114</v>
      </c>
      <c r="E176" s="244">
        <v>3900</v>
      </c>
      <c r="F176" s="190">
        <v>3900</v>
      </c>
      <c r="G176" s="159">
        <f t="shared" si="44"/>
        <v>100</v>
      </c>
      <c r="H176" s="266">
        <f>E176</f>
        <v>3900</v>
      </c>
      <c r="I176" s="190">
        <f>F176</f>
        <v>3900</v>
      </c>
      <c r="J176" s="160">
        <f t="shared" si="45"/>
        <v>100</v>
      </c>
      <c r="K176" s="266"/>
      <c r="L176" s="190"/>
      <c r="M176" s="176"/>
    </row>
    <row r="177" spans="1:13" s="17" customFormat="1" ht="21">
      <c r="A177" s="121"/>
      <c r="B177" s="121">
        <v>75109</v>
      </c>
      <c r="C177" s="121"/>
      <c r="D177" s="78" t="s">
        <v>268</v>
      </c>
      <c r="E177" s="248">
        <f>SUM(E178:E183)</f>
        <v>207705</v>
      </c>
      <c r="F177" s="195">
        <f>SUM(F178:F183)</f>
        <v>154046.52000000002</v>
      </c>
      <c r="G177" s="195">
        <f>F177*100/E177</f>
        <v>74.16601429912618</v>
      </c>
      <c r="H177" s="195">
        <f>SUM(H178:H183)</f>
        <v>207705</v>
      </c>
      <c r="I177" s="195">
        <f>SUM(I178:I183)</f>
        <v>154046.52000000002</v>
      </c>
      <c r="J177" s="195">
        <f t="shared" si="45"/>
        <v>74.16601429912618</v>
      </c>
      <c r="K177" s="248"/>
      <c r="L177" s="248"/>
      <c r="M177" s="248"/>
    </row>
    <row r="178" spans="1:13" s="17" customFormat="1" ht="11.25">
      <c r="A178" s="36"/>
      <c r="B178" s="36"/>
      <c r="C178" s="36">
        <v>3030</v>
      </c>
      <c r="D178" s="37" t="s">
        <v>35</v>
      </c>
      <c r="E178" s="242">
        <v>55060</v>
      </c>
      <c r="F178" s="199">
        <v>53260</v>
      </c>
      <c r="G178" s="148">
        <f t="shared" si="44"/>
        <v>96.73083908463494</v>
      </c>
      <c r="H178" s="268">
        <f aca="true" t="shared" si="46" ref="H178:I183">E178</f>
        <v>55060</v>
      </c>
      <c r="I178" s="199">
        <f t="shared" si="46"/>
        <v>53260</v>
      </c>
      <c r="J178" s="163">
        <f t="shared" si="45"/>
        <v>96.73083908463494</v>
      </c>
      <c r="K178" s="268"/>
      <c r="L178" s="199"/>
      <c r="M178" s="179"/>
    </row>
    <row r="179" spans="1:13" s="17" customFormat="1" ht="11.25">
      <c r="A179" s="36"/>
      <c r="B179" s="36"/>
      <c r="C179" s="36">
        <v>4110</v>
      </c>
      <c r="D179" s="37" t="s">
        <v>104</v>
      </c>
      <c r="E179" s="242">
        <v>16203</v>
      </c>
      <c r="F179" s="199">
        <v>8544.14</v>
      </c>
      <c r="G179" s="148">
        <f t="shared" si="44"/>
        <v>52.73183978275628</v>
      </c>
      <c r="H179" s="268">
        <f t="shared" si="46"/>
        <v>16203</v>
      </c>
      <c r="I179" s="199">
        <f t="shared" si="46"/>
        <v>8544.14</v>
      </c>
      <c r="J179" s="163">
        <f t="shared" si="45"/>
        <v>52.73183978275628</v>
      </c>
      <c r="K179" s="268"/>
      <c r="L179" s="199"/>
      <c r="M179" s="179"/>
    </row>
    <row r="180" spans="1:13" s="17" customFormat="1" ht="11.25">
      <c r="A180" s="36"/>
      <c r="B180" s="36"/>
      <c r="C180" s="36">
        <v>4120</v>
      </c>
      <c r="D180" s="37" t="s">
        <v>270</v>
      </c>
      <c r="E180" s="242">
        <v>8543</v>
      </c>
      <c r="F180" s="199">
        <v>834.23</v>
      </c>
      <c r="G180" s="148">
        <f t="shared" si="44"/>
        <v>9.765070818213742</v>
      </c>
      <c r="H180" s="268">
        <f t="shared" si="46"/>
        <v>8543</v>
      </c>
      <c r="I180" s="199">
        <f t="shared" si="46"/>
        <v>834.23</v>
      </c>
      <c r="J180" s="163">
        <f t="shared" si="45"/>
        <v>9.765070818213742</v>
      </c>
      <c r="K180" s="268"/>
      <c r="L180" s="199"/>
      <c r="M180" s="179"/>
    </row>
    <row r="181" spans="1:13" s="17" customFormat="1" ht="11.25">
      <c r="A181" s="36"/>
      <c r="B181" s="36"/>
      <c r="C181" s="36">
        <v>4170</v>
      </c>
      <c r="D181" s="37" t="s">
        <v>114</v>
      </c>
      <c r="E181" s="242">
        <v>71324</v>
      </c>
      <c r="F181" s="199">
        <v>67757.91</v>
      </c>
      <c r="G181" s="148">
        <f t="shared" si="44"/>
        <v>95.00015422578655</v>
      </c>
      <c r="H181" s="268">
        <f t="shared" si="46"/>
        <v>71324</v>
      </c>
      <c r="I181" s="199">
        <f t="shared" si="46"/>
        <v>67757.91</v>
      </c>
      <c r="J181" s="163">
        <f t="shared" si="45"/>
        <v>95.00015422578655</v>
      </c>
      <c r="K181" s="268"/>
      <c r="L181" s="199"/>
      <c r="M181" s="179"/>
    </row>
    <row r="182" spans="1:13" s="17" customFormat="1" ht="11.25">
      <c r="A182" s="36"/>
      <c r="B182" s="36"/>
      <c r="C182" s="36">
        <v>4210</v>
      </c>
      <c r="D182" s="37" t="s">
        <v>47</v>
      </c>
      <c r="E182" s="242">
        <v>29508</v>
      </c>
      <c r="F182" s="199">
        <v>17948.1</v>
      </c>
      <c r="G182" s="148">
        <f t="shared" si="44"/>
        <v>60.824522163481085</v>
      </c>
      <c r="H182" s="268">
        <f t="shared" si="46"/>
        <v>29508</v>
      </c>
      <c r="I182" s="199">
        <f t="shared" si="46"/>
        <v>17948.1</v>
      </c>
      <c r="J182" s="163">
        <f t="shared" si="45"/>
        <v>60.824522163481085</v>
      </c>
      <c r="K182" s="268"/>
      <c r="L182" s="199"/>
      <c r="M182" s="179"/>
    </row>
    <row r="183" spans="1:13" s="17" customFormat="1" ht="11.25">
      <c r="A183" s="36"/>
      <c r="B183" s="36"/>
      <c r="C183" s="36">
        <v>4300</v>
      </c>
      <c r="D183" s="37" t="s">
        <v>92</v>
      </c>
      <c r="E183" s="242">
        <v>27067</v>
      </c>
      <c r="F183" s="199">
        <v>5702.14</v>
      </c>
      <c r="G183" s="148">
        <f t="shared" si="44"/>
        <v>21.066760261573133</v>
      </c>
      <c r="H183" s="268">
        <f t="shared" si="46"/>
        <v>27067</v>
      </c>
      <c r="I183" s="199">
        <f t="shared" si="46"/>
        <v>5702.14</v>
      </c>
      <c r="J183" s="163">
        <f t="shared" si="45"/>
        <v>21.066760261573133</v>
      </c>
      <c r="K183" s="268"/>
      <c r="L183" s="199"/>
      <c r="M183" s="179"/>
    </row>
    <row r="184" spans="1:13" s="17" customFormat="1" ht="21">
      <c r="A184" s="66">
        <v>754</v>
      </c>
      <c r="B184" s="66"/>
      <c r="C184" s="66"/>
      <c r="D184" s="67" t="s">
        <v>13</v>
      </c>
      <c r="E184" s="68">
        <f>E185+E188+E201+E205</f>
        <v>1206005</v>
      </c>
      <c r="F184" s="69">
        <f>F185+F188+F201+F205</f>
        <v>1097150.6400000001</v>
      </c>
      <c r="G184" s="154">
        <f t="shared" si="44"/>
        <v>90.97397108635538</v>
      </c>
      <c r="H184" s="68">
        <f>H185+H188+H201+H205</f>
        <v>1026000</v>
      </c>
      <c r="I184" s="69">
        <f>I185+I188+I201+I205</f>
        <v>917415.2000000001</v>
      </c>
      <c r="J184" s="154">
        <f>I184*100/H184</f>
        <v>89.41668615984405</v>
      </c>
      <c r="K184" s="68">
        <f>K185+K188+K205</f>
        <v>180005</v>
      </c>
      <c r="L184" s="69">
        <f>L185+L188+L205</f>
        <v>179735.44</v>
      </c>
      <c r="M184" s="69">
        <f>L184*100/K184</f>
        <v>99.85024860420543</v>
      </c>
    </row>
    <row r="185" spans="1:13" s="17" customFormat="1" ht="11.25">
      <c r="A185" s="121"/>
      <c r="B185" s="121">
        <v>75404</v>
      </c>
      <c r="C185" s="121"/>
      <c r="D185" s="78" t="s">
        <v>143</v>
      </c>
      <c r="E185" s="248">
        <f>E186+E187</f>
        <v>132500</v>
      </c>
      <c r="F185" s="248">
        <f>F186+F187</f>
        <v>125855.5</v>
      </c>
      <c r="G185" s="195">
        <f t="shared" si="44"/>
        <v>94.98528301886792</v>
      </c>
      <c r="H185" s="248">
        <f>H186</f>
        <v>90000</v>
      </c>
      <c r="I185" s="195">
        <f>I186</f>
        <v>83355.5</v>
      </c>
      <c r="J185" s="195">
        <f aca="true" t="shared" si="47" ref="J185:J198">I185*100/H185</f>
        <v>92.61722222222222</v>
      </c>
      <c r="K185" s="248">
        <f>K187</f>
        <v>42500</v>
      </c>
      <c r="L185" s="195">
        <f>L187</f>
        <v>42500</v>
      </c>
      <c r="M185" s="195">
        <f>M187</f>
        <v>100</v>
      </c>
    </row>
    <row r="186" spans="1:13" s="17" customFormat="1" ht="11.25">
      <c r="A186" s="36"/>
      <c r="B186" s="36"/>
      <c r="C186" s="36">
        <v>2300</v>
      </c>
      <c r="D186" s="37" t="s">
        <v>217</v>
      </c>
      <c r="E186" s="242">
        <v>90000</v>
      </c>
      <c r="F186" s="199">
        <v>83355.5</v>
      </c>
      <c r="G186" s="163">
        <f aca="true" t="shared" si="48" ref="G186:G200">F186*100/E186</f>
        <v>92.61722222222222</v>
      </c>
      <c r="H186" s="268">
        <f aca="true" t="shared" si="49" ref="H186:H198">E186</f>
        <v>90000</v>
      </c>
      <c r="I186" s="199">
        <f aca="true" t="shared" si="50" ref="I186:I198">F186</f>
        <v>83355.5</v>
      </c>
      <c r="J186" s="163">
        <f t="shared" si="47"/>
        <v>92.61722222222222</v>
      </c>
      <c r="K186" s="268"/>
      <c r="L186" s="199"/>
      <c r="M186" s="179"/>
    </row>
    <row r="187" spans="1:13" s="17" customFormat="1" ht="31.5">
      <c r="A187" s="36"/>
      <c r="B187" s="36"/>
      <c r="C187" s="36">
        <v>6170</v>
      </c>
      <c r="D187" s="37" t="s">
        <v>271</v>
      </c>
      <c r="E187" s="242">
        <v>42500</v>
      </c>
      <c r="F187" s="199">
        <v>42500</v>
      </c>
      <c r="G187" s="163">
        <f t="shared" si="48"/>
        <v>100</v>
      </c>
      <c r="H187" s="306"/>
      <c r="I187" s="306"/>
      <c r="K187" s="268">
        <f>E187</f>
        <v>42500</v>
      </c>
      <c r="L187" s="199">
        <f>F187</f>
        <v>42500</v>
      </c>
      <c r="M187" s="163">
        <f>L187*100/K187</f>
        <v>100</v>
      </c>
    </row>
    <row r="188" spans="1:13" s="17" customFormat="1" ht="11.25">
      <c r="A188" s="105"/>
      <c r="B188" s="105">
        <v>75412</v>
      </c>
      <c r="C188" s="105"/>
      <c r="D188" s="107" t="s">
        <v>52</v>
      </c>
      <c r="E188" s="240">
        <f>SUM(E189:E200)</f>
        <v>841759</v>
      </c>
      <c r="F188" s="108">
        <f>SUM(F189:F200)</f>
        <v>815721.6200000001</v>
      </c>
      <c r="G188" s="156">
        <f t="shared" si="48"/>
        <v>96.90678923539875</v>
      </c>
      <c r="H188" s="240">
        <f>SUM(H189:H200)</f>
        <v>717254</v>
      </c>
      <c r="I188" s="108">
        <f>SUM(I189:I200)</f>
        <v>691216.68</v>
      </c>
      <c r="J188" s="156">
        <f t="shared" si="47"/>
        <v>96.36986060726046</v>
      </c>
      <c r="K188" s="240">
        <f>K200+K199</f>
        <v>124505</v>
      </c>
      <c r="L188" s="240">
        <f>L200+L199</f>
        <v>124504.94</v>
      </c>
      <c r="M188" s="156">
        <f>M200</f>
        <v>99.99994532780536</v>
      </c>
    </row>
    <row r="189" spans="1:13" s="17" customFormat="1" ht="11.25">
      <c r="A189" s="36"/>
      <c r="B189" s="36"/>
      <c r="C189" s="19">
        <v>3020</v>
      </c>
      <c r="D189" s="21" t="s">
        <v>108</v>
      </c>
      <c r="E189" s="246">
        <v>42000</v>
      </c>
      <c r="F189" s="192">
        <v>39248.71</v>
      </c>
      <c r="G189" s="162">
        <f t="shared" si="48"/>
        <v>93.44930952380952</v>
      </c>
      <c r="H189" s="264">
        <f t="shared" si="49"/>
        <v>42000</v>
      </c>
      <c r="I189" s="192">
        <f t="shared" si="50"/>
        <v>39248.71</v>
      </c>
      <c r="J189" s="162">
        <f t="shared" si="47"/>
        <v>93.44930952380952</v>
      </c>
      <c r="K189" s="264"/>
      <c r="L189" s="192"/>
      <c r="M189" s="177"/>
    </row>
    <row r="190" spans="1:13" s="17" customFormat="1" ht="11.25">
      <c r="A190" s="36"/>
      <c r="B190" s="36"/>
      <c r="C190" s="31">
        <v>3030</v>
      </c>
      <c r="D190" s="32" t="s">
        <v>46</v>
      </c>
      <c r="E190" s="241">
        <v>147446</v>
      </c>
      <c r="F190" s="193">
        <v>141156</v>
      </c>
      <c r="G190" s="161">
        <f t="shared" si="48"/>
        <v>95.73403144201946</v>
      </c>
      <c r="H190" s="265">
        <f>E190</f>
        <v>147446</v>
      </c>
      <c r="I190" s="193">
        <f>F190</f>
        <v>141156</v>
      </c>
      <c r="J190" s="161">
        <f>I190*100/H190</f>
        <v>95.73403144201946</v>
      </c>
      <c r="K190" s="264"/>
      <c r="L190" s="192"/>
      <c r="M190" s="177"/>
    </row>
    <row r="191" spans="1:13" s="17" customFormat="1" ht="11.25">
      <c r="A191" s="36"/>
      <c r="B191" s="36"/>
      <c r="C191" s="31">
        <v>4210</v>
      </c>
      <c r="D191" s="32" t="s">
        <v>35</v>
      </c>
      <c r="E191" s="241">
        <v>100651</v>
      </c>
      <c r="F191" s="193">
        <v>90055.68</v>
      </c>
      <c r="G191" s="162">
        <f t="shared" si="48"/>
        <v>89.47320940676198</v>
      </c>
      <c r="H191" s="264">
        <f t="shared" si="49"/>
        <v>100651</v>
      </c>
      <c r="I191" s="192">
        <f t="shared" si="50"/>
        <v>90055.68</v>
      </c>
      <c r="J191" s="162">
        <f t="shared" si="47"/>
        <v>89.47320940676198</v>
      </c>
      <c r="K191" s="264"/>
      <c r="L191" s="192"/>
      <c r="M191" s="177"/>
    </row>
    <row r="192" spans="1:13" s="17" customFormat="1" ht="11.25">
      <c r="A192" s="36"/>
      <c r="B192" s="36"/>
      <c r="C192" s="31">
        <v>4260</v>
      </c>
      <c r="D192" s="32" t="s">
        <v>53</v>
      </c>
      <c r="E192" s="241">
        <v>67000</v>
      </c>
      <c r="F192" s="193">
        <v>65405.46</v>
      </c>
      <c r="G192" s="162">
        <f t="shared" si="48"/>
        <v>97.62008955223881</v>
      </c>
      <c r="H192" s="264">
        <f t="shared" si="49"/>
        <v>67000</v>
      </c>
      <c r="I192" s="192">
        <f t="shared" si="50"/>
        <v>65405.46</v>
      </c>
      <c r="J192" s="162">
        <f t="shared" si="47"/>
        <v>97.62008955223881</v>
      </c>
      <c r="K192" s="265"/>
      <c r="L192" s="193"/>
      <c r="M192" s="168"/>
    </row>
    <row r="193" spans="1:13" s="17" customFormat="1" ht="11.25">
      <c r="A193" s="36"/>
      <c r="B193" s="36"/>
      <c r="C193" s="31">
        <v>4270</v>
      </c>
      <c r="D193" s="32" t="s">
        <v>54</v>
      </c>
      <c r="E193" s="241">
        <v>259000</v>
      </c>
      <c r="F193" s="193">
        <v>257608.84</v>
      </c>
      <c r="G193" s="161">
        <f t="shared" si="48"/>
        <v>99.46287258687259</v>
      </c>
      <c r="H193" s="265">
        <f t="shared" si="49"/>
        <v>259000</v>
      </c>
      <c r="I193" s="193">
        <f t="shared" si="50"/>
        <v>257608.84</v>
      </c>
      <c r="J193" s="161">
        <f t="shared" si="47"/>
        <v>99.46287258687259</v>
      </c>
      <c r="K193" s="265"/>
      <c r="L193" s="193"/>
      <c r="M193" s="168"/>
    </row>
    <row r="194" spans="1:13" s="17" customFormat="1" ht="11.25">
      <c r="A194" s="36"/>
      <c r="B194" s="36"/>
      <c r="C194" s="31">
        <v>4280</v>
      </c>
      <c r="D194" s="32" t="s">
        <v>51</v>
      </c>
      <c r="E194" s="241">
        <v>8440</v>
      </c>
      <c r="F194" s="193">
        <v>8429.8</v>
      </c>
      <c r="G194" s="161">
        <f t="shared" si="48"/>
        <v>99.87914691943126</v>
      </c>
      <c r="H194" s="265">
        <f t="shared" si="49"/>
        <v>8440</v>
      </c>
      <c r="I194" s="193">
        <f t="shared" si="50"/>
        <v>8429.8</v>
      </c>
      <c r="J194" s="161">
        <f t="shared" si="47"/>
        <v>99.87914691943126</v>
      </c>
      <c r="K194" s="265"/>
      <c r="L194" s="193"/>
      <c r="M194" s="168"/>
    </row>
    <row r="195" spans="1:13" s="17" customFormat="1" ht="11.25">
      <c r="A195" s="36"/>
      <c r="B195" s="36"/>
      <c r="C195" s="31">
        <v>4300</v>
      </c>
      <c r="D195" s="32" t="s">
        <v>39</v>
      </c>
      <c r="E195" s="241">
        <v>60250</v>
      </c>
      <c r="F195" s="193">
        <v>57250.01</v>
      </c>
      <c r="G195" s="161">
        <f t="shared" si="48"/>
        <v>95.02076348547718</v>
      </c>
      <c r="H195" s="265">
        <f t="shared" si="49"/>
        <v>60250</v>
      </c>
      <c r="I195" s="193">
        <f t="shared" si="50"/>
        <v>57250.01</v>
      </c>
      <c r="J195" s="161">
        <f t="shared" si="47"/>
        <v>95.02076348547718</v>
      </c>
      <c r="K195" s="265"/>
      <c r="L195" s="193"/>
      <c r="M195" s="168"/>
    </row>
    <row r="196" spans="1:13" s="17" customFormat="1" ht="12" customHeight="1">
      <c r="A196" s="36"/>
      <c r="B196" s="36"/>
      <c r="C196" s="31">
        <v>4360</v>
      </c>
      <c r="D196" s="32" t="s">
        <v>209</v>
      </c>
      <c r="E196" s="241">
        <v>1120</v>
      </c>
      <c r="F196" s="193">
        <v>1114.97</v>
      </c>
      <c r="G196" s="161">
        <f t="shared" si="48"/>
        <v>99.55089285714286</v>
      </c>
      <c r="H196" s="265">
        <f t="shared" si="49"/>
        <v>1120</v>
      </c>
      <c r="I196" s="193">
        <f t="shared" si="50"/>
        <v>1114.97</v>
      </c>
      <c r="J196" s="161">
        <f t="shared" si="47"/>
        <v>99.55089285714286</v>
      </c>
      <c r="K196" s="265"/>
      <c r="L196" s="193"/>
      <c r="M196" s="168"/>
    </row>
    <row r="197" spans="1:13" s="17" customFormat="1" ht="14.25" customHeight="1">
      <c r="A197" s="36"/>
      <c r="B197" s="36"/>
      <c r="C197" s="31">
        <v>4430</v>
      </c>
      <c r="D197" s="32" t="s">
        <v>55</v>
      </c>
      <c r="E197" s="241">
        <v>26355</v>
      </c>
      <c r="F197" s="193">
        <v>25955.21</v>
      </c>
      <c r="G197" s="161">
        <f t="shared" si="48"/>
        <v>98.4830582432176</v>
      </c>
      <c r="H197" s="265">
        <f t="shared" si="49"/>
        <v>26355</v>
      </c>
      <c r="I197" s="193">
        <f t="shared" si="50"/>
        <v>25955.21</v>
      </c>
      <c r="J197" s="161">
        <f t="shared" si="47"/>
        <v>98.4830582432176</v>
      </c>
      <c r="K197" s="265"/>
      <c r="L197" s="193"/>
      <c r="M197" s="168"/>
    </row>
    <row r="198" spans="1:13" s="17" customFormat="1" ht="11.25">
      <c r="A198" s="36"/>
      <c r="B198" s="36"/>
      <c r="C198" s="31">
        <v>4520</v>
      </c>
      <c r="D198" s="32" t="s">
        <v>200</v>
      </c>
      <c r="E198" s="241">
        <v>4992</v>
      </c>
      <c r="F198" s="193">
        <v>4992</v>
      </c>
      <c r="G198" s="161">
        <f t="shared" si="48"/>
        <v>100</v>
      </c>
      <c r="H198" s="265">
        <f t="shared" si="49"/>
        <v>4992</v>
      </c>
      <c r="I198" s="308">
        <f t="shared" si="50"/>
        <v>4992</v>
      </c>
      <c r="J198" s="161">
        <f t="shared" si="47"/>
        <v>100</v>
      </c>
      <c r="K198" s="265"/>
      <c r="L198" s="193"/>
      <c r="M198" s="168"/>
    </row>
    <row r="199" spans="1:13" s="17" customFormat="1" ht="11.25">
      <c r="A199" s="36"/>
      <c r="B199" s="36"/>
      <c r="C199" s="33">
        <v>6050</v>
      </c>
      <c r="D199" s="34" t="s">
        <v>210</v>
      </c>
      <c r="E199" s="245">
        <v>14760</v>
      </c>
      <c r="F199" s="194">
        <v>14760</v>
      </c>
      <c r="G199" s="164">
        <f t="shared" si="48"/>
        <v>100</v>
      </c>
      <c r="H199" s="338"/>
      <c r="I199" s="310"/>
      <c r="K199" s="263">
        <f>E199</f>
        <v>14760</v>
      </c>
      <c r="L199" s="194">
        <f>F199</f>
        <v>14760</v>
      </c>
      <c r="M199" s="164">
        <f>L199*100/K199</f>
        <v>100</v>
      </c>
    </row>
    <row r="200" spans="1:13" s="17" customFormat="1" ht="21">
      <c r="A200" s="46"/>
      <c r="B200" s="46"/>
      <c r="C200" s="41">
        <v>6060</v>
      </c>
      <c r="D200" s="42" t="s">
        <v>218</v>
      </c>
      <c r="E200" s="244">
        <v>109745</v>
      </c>
      <c r="F200" s="190">
        <v>109744.94</v>
      </c>
      <c r="G200" s="160">
        <f t="shared" si="48"/>
        <v>99.99994532780536</v>
      </c>
      <c r="H200" s="266"/>
      <c r="I200" s="190"/>
      <c r="J200" s="160"/>
      <c r="K200" s="266">
        <f>E200</f>
        <v>109745</v>
      </c>
      <c r="L200" s="190">
        <f>F200</f>
        <v>109744.94</v>
      </c>
      <c r="M200" s="176">
        <f>L200*100/K200</f>
        <v>99.99994532780536</v>
      </c>
    </row>
    <row r="201" spans="1:13" s="17" customFormat="1" ht="11.25">
      <c r="A201" s="105"/>
      <c r="B201" s="105">
        <v>75421</v>
      </c>
      <c r="C201" s="105"/>
      <c r="D201" s="107" t="s">
        <v>173</v>
      </c>
      <c r="E201" s="240">
        <f>SUM(E202:E204)</f>
        <v>217737</v>
      </c>
      <c r="F201" s="108">
        <f>SUM(F202:F204)</f>
        <v>141834.22999999998</v>
      </c>
      <c r="G201" s="156">
        <f aca="true" t="shared" si="51" ref="G201:G207">F201*100/E201</f>
        <v>65.14015991769887</v>
      </c>
      <c r="H201" s="282">
        <f>SUM(H202:H204)</f>
        <v>217737</v>
      </c>
      <c r="I201" s="355">
        <f>SUM(I202:I204)</f>
        <v>141834.22999999998</v>
      </c>
      <c r="J201" s="156">
        <f>I201*100/H201</f>
        <v>65.14015991769887</v>
      </c>
      <c r="K201" s="240"/>
      <c r="L201" s="108"/>
      <c r="M201" s="156"/>
    </row>
    <row r="202" spans="1:13" s="17" customFormat="1" ht="11.25">
      <c r="A202" s="36"/>
      <c r="B202" s="36"/>
      <c r="C202" s="19">
        <v>4210</v>
      </c>
      <c r="D202" s="21" t="s">
        <v>35</v>
      </c>
      <c r="E202" s="246">
        <v>5737</v>
      </c>
      <c r="F202" s="192">
        <v>126</v>
      </c>
      <c r="G202" s="192">
        <f t="shared" si="51"/>
        <v>2.196269827435942</v>
      </c>
      <c r="H202" s="264">
        <f aca="true" t="shared" si="52" ref="H202:I204">E202</f>
        <v>5737</v>
      </c>
      <c r="I202" s="192">
        <f t="shared" si="52"/>
        <v>126</v>
      </c>
      <c r="J202" s="192">
        <f>I202*100/H202</f>
        <v>2.196269827435942</v>
      </c>
      <c r="K202" s="264"/>
      <c r="L202" s="192"/>
      <c r="M202" s="177"/>
    </row>
    <row r="203" spans="1:13" s="17" customFormat="1" ht="11.25">
      <c r="A203" s="36"/>
      <c r="B203" s="36"/>
      <c r="C203" s="19">
        <v>4270</v>
      </c>
      <c r="D203" s="21" t="s">
        <v>65</v>
      </c>
      <c r="E203" s="398">
        <v>76000</v>
      </c>
      <c r="F203" s="192">
        <v>61131</v>
      </c>
      <c r="G203" s="192">
        <f t="shared" si="51"/>
        <v>80.43552631578947</v>
      </c>
      <c r="H203" s="264">
        <f t="shared" si="52"/>
        <v>76000</v>
      </c>
      <c r="I203" s="192">
        <f t="shared" si="52"/>
        <v>61131</v>
      </c>
      <c r="J203" s="192">
        <f>I203*100/H203</f>
        <v>80.43552631578947</v>
      </c>
      <c r="K203" s="264"/>
      <c r="L203" s="192"/>
      <c r="M203" s="177"/>
    </row>
    <row r="204" spans="1:13" s="17" customFormat="1" ht="11.25">
      <c r="A204" s="36"/>
      <c r="B204" s="36"/>
      <c r="C204" s="31">
        <v>4300</v>
      </c>
      <c r="D204" s="32" t="s">
        <v>39</v>
      </c>
      <c r="E204" s="317">
        <v>136000</v>
      </c>
      <c r="F204" s="193">
        <v>80577.23</v>
      </c>
      <c r="G204" s="192">
        <f t="shared" si="51"/>
        <v>59.247963235294115</v>
      </c>
      <c r="H204" s="263">
        <f t="shared" si="52"/>
        <v>136000</v>
      </c>
      <c r="I204" s="194">
        <f t="shared" si="52"/>
        <v>80577.23</v>
      </c>
      <c r="J204" s="192">
        <f>I204*100/H204</f>
        <v>59.247963235294115</v>
      </c>
      <c r="K204" s="265"/>
      <c r="L204" s="193"/>
      <c r="M204" s="168"/>
    </row>
    <row r="205" spans="1:13" s="17" customFormat="1" ht="11.25">
      <c r="A205" s="105"/>
      <c r="B205" s="105">
        <v>75495</v>
      </c>
      <c r="C205" s="105"/>
      <c r="D205" s="107" t="s">
        <v>6</v>
      </c>
      <c r="E205" s="240">
        <f>SUM(E206:E207)</f>
        <v>14009</v>
      </c>
      <c r="F205" s="108">
        <f>SUM(F206:F207)</f>
        <v>13739.29</v>
      </c>
      <c r="G205" s="156">
        <f t="shared" si="51"/>
        <v>98.07473766864159</v>
      </c>
      <c r="H205" s="108">
        <f>H206</f>
        <v>1009</v>
      </c>
      <c r="I205" s="108">
        <f>I206</f>
        <v>1008.79</v>
      </c>
      <c r="J205" s="108">
        <f>J206</f>
        <v>99.97918731417245</v>
      </c>
      <c r="K205" s="282">
        <f>SUM(K206:K207)</f>
        <v>13000</v>
      </c>
      <c r="L205" s="504">
        <f>SUM(L206:L207)</f>
        <v>12730.5</v>
      </c>
      <c r="M205" s="156">
        <f>L205*100/K205</f>
        <v>97.92692307692307</v>
      </c>
    </row>
    <row r="206" spans="1:13" s="17" customFormat="1" ht="11.25">
      <c r="A206" s="36"/>
      <c r="B206" s="36"/>
      <c r="C206" s="31">
        <v>3030</v>
      </c>
      <c r="D206" s="313" t="s">
        <v>46</v>
      </c>
      <c r="E206" s="317">
        <v>1009</v>
      </c>
      <c r="F206" s="193">
        <v>1008.79</v>
      </c>
      <c r="G206" s="193">
        <f t="shared" si="51"/>
        <v>99.97918731417245</v>
      </c>
      <c r="H206" s="301">
        <f>E206</f>
        <v>1009</v>
      </c>
      <c r="I206" s="193">
        <f>F206</f>
        <v>1008.79</v>
      </c>
      <c r="J206" s="300">
        <f>I206*100/H206</f>
        <v>99.97918731417245</v>
      </c>
      <c r="K206" s="323"/>
      <c r="L206" s="505"/>
      <c r="M206" s="323"/>
    </row>
    <row r="207" spans="1:13" s="17" customFormat="1" ht="21">
      <c r="A207" s="46"/>
      <c r="B207" s="46"/>
      <c r="C207" s="46">
        <v>6060</v>
      </c>
      <c r="D207" s="94" t="s">
        <v>218</v>
      </c>
      <c r="E207" s="247">
        <v>13000</v>
      </c>
      <c r="F207" s="202">
        <v>12730.5</v>
      </c>
      <c r="G207" s="202">
        <f t="shared" si="51"/>
        <v>97.92692307692307</v>
      </c>
      <c r="H207" s="247"/>
      <c r="I207" s="247"/>
      <c r="J207" s="247"/>
      <c r="K207" s="318">
        <f>E207</f>
        <v>13000</v>
      </c>
      <c r="L207" s="202">
        <f>F207</f>
        <v>12730.5</v>
      </c>
      <c r="M207" s="322">
        <f>L207*100/K207</f>
        <v>97.92692307692307</v>
      </c>
    </row>
    <row r="208" spans="1:13" s="17" customFormat="1" ht="24.75" customHeight="1">
      <c r="A208" s="384"/>
      <c r="B208" s="384"/>
      <c r="C208" s="384"/>
      <c r="D208" s="385"/>
      <c r="E208" s="508"/>
      <c r="F208" s="509"/>
      <c r="G208" s="509"/>
      <c r="H208" s="508"/>
      <c r="I208" s="508"/>
      <c r="J208" s="508"/>
      <c r="K208" s="510"/>
      <c r="L208" s="509"/>
      <c r="M208" s="509"/>
    </row>
    <row r="209" spans="1:13" s="17" customFormat="1" ht="11.25">
      <c r="A209" s="511"/>
      <c r="B209" s="511"/>
      <c r="C209" s="511"/>
      <c r="D209" s="294"/>
      <c r="E209" s="512"/>
      <c r="F209" s="513"/>
      <c r="G209" s="513"/>
      <c r="H209" s="512"/>
      <c r="I209" s="512"/>
      <c r="J209" s="512"/>
      <c r="K209" s="514"/>
      <c r="L209" s="513"/>
      <c r="M209" s="513"/>
    </row>
    <row r="210" spans="1:13" s="16" customFormat="1" ht="17.25" customHeight="1">
      <c r="A210" s="66">
        <v>757</v>
      </c>
      <c r="B210" s="66"/>
      <c r="C210" s="66"/>
      <c r="D210" s="67" t="s">
        <v>56</v>
      </c>
      <c r="E210" s="68">
        <f>E211</f>
        <v>2220000</v>
      </c>
      <c r="F210" s="69">
        <f>F211</f>
        <v>2164954.44</v>
      </c>
      <c r="G210" s="68">
        <f>F210*100/E210</f>
        <v>97.52047027027027</v>
      </c>
      <c r="H210" s="68">
        <f aca="true" t="shared" si="53" ref="H210:I213">E210</f>
        <v>2220000</v>
      </c>
      <c r="I210" s="69">
        <f t="shared" si="53"/>
        <v>2164954.44</v>
      </c>
      <c r="J210" s="69">
        <f>I210*100/H210</f>
        <v>97.52047027027027</v>
      </c>
      <c r="K210" s="68"/>
      <c r="L210" s="68"/>
      <c r="M210" s="68"/>
    </row>
    <row r="211" spans="1:13" s="16" customFormat="1" ht="21">
      <c r="A211" s="110"/>
      <c r="B211" s="110">
        <v>75702</v>
      </c>
      <c r="C211" s="110"/>
      <c r="D211" s="112" t="s">
        <v>189</v>
      </c>
      <c r="E211" s="243">
        <f>SUM(E212:E213)</f>
        <v>2220000</v>
      </c>
      <c r="F211" s="196">
        <f>SUM(F212:F213)</f>
        <v>2164954.44</v>
      </c>
      <c r="G211" s="196">
        <f>F211*100/E211</f>
        <v>97.52047027027027</v>
      </c>
      <c r="H211" s="196">
        <f t="shared" si="53"/>
        <v>2220000</v>
      </c>
      <c r="I211" s="196">
        <f t="shared" si="53"/>
        <v>2164954.44</v>
      </c>
      <c r="J211" s="196">
        <f>I211*100/H211</f>
        <v>97.52047027027027</v>
      </c>
      <c r="K211" s="243"/>
      <c r="L211" s="196"/>
      <c r="M211" s="165"/>
    </row>
    <row r="212" spans="1:13" s="16" customFormat="1" ht="21">
      <c r="A212" s="103"/>
      <c r="B212" s="103"/>
      <c r="C212" s="38">
        <v>8090</v>
      </c>
      <c r="D212" s="74" t="s">
        <v>179</v>
      </c>
      <c r="E212" s="57">
        <v>113800</v>
      </c>
      <c r="F212" s="58">
        <v>96000</v>
      </c>
      <c r="G212" s="109">
        <f>F212*100/E212</f>
        <v>84.3585237258348</v>
      </c>
      <c r="H212" s="65">
        <f t="shared" si="53"/>
        <v>113800</v>
      </c>
      <c r="I212" s="64">
        <f t="shared" si="53"/>
        <v>96000</v>
      </c>
      <c r="J212" s="109">
        <f>I212*100/H212</f>
        <v>84.3585237258348</v>
      </c>
      <c r="K212" s="57"/>
      <c r="L212" s="58"/>
      <c r="M212" s="168"/>
    </row>
    <row r="213" spans="1:13" s="17" customFormat="1" ht="31.5">
      <c r="A213" s="46"/>
      <c r="B213" s="46"/>
      <c r="C213" s="41">
        <v>8110</v>
      </c>
      <c r="D213" s="42" t="s">
        <v>180</v>
      </c>
      <c r="E213" s="244">
        <v>2106200</v>
      </c>
      <c r="F213" s="190">
        <v>2068954.44</v>
      </c>
      <c r="G213" s="160">
        <f>F213*100/E213</f>
        <v>98.2316228278416</v>
      </c>
      <c r="H213" s="266">
        <f t="shared" si="53"/>
        <v>2106200</v>
      </c>
      <c r="I213" s="515">
        <f t="shared" si="53"/>
        <v>2068954.44</v>
      </c>
      <c r="J213" s="160">
        <f>I213*100/H213</f>
        <v>98.2316228278416</v>
      </c>
      <c r="K213" s="266"/>
      <c r="L213" s="190"/>
      <c r="M213" s="176"/>
    </row>
    <row r="214" spans="1:13" s="16" customFormat="1" ht="11.25">
      <c r="A214" s="66">
        <v>758</v>
      </c>
      <c r="B214" s="285"/>
      <c r="C214" s="285"/>
      <c r="D214" s="286" t="s">
        <v>14</v>
      </c>
      <c r="E214" s="68">
        <f>E216+E217</f>
        <v>9684588</v>
      </c>
      <c r="F214" s="288">
        <f>F216+F217</f>
        <v>9172588</v>
      </c>
      <c r="G214" s="288">
        <f>F214*100/E214</f>
        <v>94.7132495465992</v>
      </c>
      <c r="H214" s="287">
        <f>H215+H217</f>
        <v>9684588</v>
      </c>
      <c r="I214" s="344">
        <f>I215+I217</f>
        <v>9172588</v>
      </c>
      <c r="J214" s="344">
        <f>I214*100/H214</f>
        <v>94.7132495465992</v>
      </c>
      <c r="K214" s="69"/>
      <c r="L214" s="69"/>
      <c r="M214" s="154"/>
    </row>
    <row r="215" spans="1:13" s="16" customFormat="1" ht="15.75" customHeight="1">
      <c r="A215" s="110"/>
      <c r="B215" s="110">
        <v>75818</v>
      </c>
      <c r="C215" s="110"/>
      <c r="D215" s="112" t="s">
        <v>188</v>
      </c>
      <c r="E215" s="243">
        <f>E216</f>
        <v>512000</v>
      </c>
      <c r="F215" s="196"/>
      <c r="G215" s="240"/>
      <c r="H215" s="243">
        <f>E215</f>
        <v>512000</v>
      </c>
      <c r="I215" s="243"/>
      <c r="J215" s="243"/>
      <c r="K215" s="243"/>
      <c r="L215" s="196"/>
      <c r="M215" s="165"/>
    </row>
    <row r="216" spans="1:13" s="16" customFormat="1" ht="11.25">
      <c r="A216" s="302"/>
      <c r="B216" s="302"/>
      <c r="C216" s="36">
        <v>4810</v>
      </c>
      <c r="D216" s="37" t="s">
        <v>223</v>
      </c>
      <c r="E216" s="259">
        <v>512000</v>
      </c>
      <c r="F216" s="259"/>
      <c r="G216" s="259"/>
      <c r="H216" s="259">
        <f>E216</f>
        <v>512000</v>
      </c>
      <c r="I216" s="187"/>
      <c r="J216" s="187"/>
      <c r="K216" s="303"/>
      <c r="L216" s="304"/>
      <c r="M216" s="305"/>
    </row>
    <row r="217" spans="1:13" s="17" customFormat="1" ht="16.5" customHeight="1">
      <c r="A217" s="105"/>
      <c r="B217" s="105">
        <v>75831</v>
      </c>
      <c r="C217" s="105"/>
      <c r="D217" s="107" t="s">
        <v>113</v>
      </c>
      <c r="E217" s="240">
        <f>E218</f>
        <v>9172588</v>
      </c>
      <c r="F217" s="108">
        <f>F218</f>
        <v>9172588</v>
      </c>
      <c r="G217" s="108">
        <f aca="true" t="shared" si="54" ref="G217:G248">F217*100/E217</f>
        <v>100</v>
      </c>
      <c r="H217" s="108">
        <f>E217</f>
        <v>9172588</v>
      </c>
      <c r="I217" s="108">
        <f>F217</f>
        <v>9172588</v>
      </c>
      <c r="J217" s="108">
        <f aca="true" t="shared" si="55" ref="J217:J245">I217*100/H217</f>
        <v>100</v>
      </c>
      <c r="K217" s="240"/>
      <c r="L217" s="108"/>
      <c r="M217" s="156"/>
    </row>
    <row r="218" spans="1:13" s="17" customFormat="1" ht="21">
      <c r="A218" s="41"/>
      <c r="B218" s="41"/>
      <c r="C218" s="41">
        <v>2930</v>
      </c>
      <c r="D218" s="42" t="s">
        <v>109</v>
      </c>
      <c r="E218" s="244">
        <v>9172588</v>
      </c>
      <c r="F218" s="188">
        <v>9172588</v>
      </c>
      <c r="G218" s="160">
        <f t="shared" si="54"/>
        <v>100</v>
      </c>
      <c r="H218" s="266">
        <f>E218</f>
        <v>9172588</v>
      </c>
      <c r="I218" s="190">
        <f>F218</f>
        <v>9172588</v>
      </c>
      <c r="J218" s="160">
        <f t="shared" si="55"/>
        <v>100</v>
      </c>
      <c r="K218" s="260"/>
      <c r="L218" s="188"/>
      <c r="M218" s="176"/>
    </row>
    <row r="219" spans="1:13" s="16" customFormat="1" ht="18.75" customHeight="1">
      <c r="A219" s="66">
        <v>801</v>
      </c>
      <c r="B219" s="66"/>
      <c r="C219" s="66"/>
      <c r="D219" s="67" t="s">
        <v>15</v>
      </c>
      <c r="E219" s="68">
        <f>E220+E325+E344+E369+E372+E393+E400+E403+E420+E435+E248+E254+E264+E271+E279+E286+E450+E456+E462+E294+E302+E314+E320</f>
        <v>92486868</v>
      </c>
      <c r="F219" s="69">
        <f>F220+F325+F344+F369+F372+F393+F400+F403+F420+F435+F248+F254+F264+F271+F279+F286+F450+F456+F462+F302+F320</f>
        <v>90366909.99</v>
      </c>
      <c r="G219" s="288">
        <f t="shared" si="54"/>
        <v>97.707828088632</v>
      </c>
      <c r="H219" s="68">
        <f>H220+H325+H344+H369+H372+H393+H400+H403+H420+H435+H248+H254+H264+H271+H279+H286+H450+H456+H462+H302+H314+H320+E294</f>
        <v>88166064</v>
      </c>
      <c r="I219" s="69">
        <f>I220+I325+I344+I369+I372+I393+I400+I403+I420+I435+I248+I254+I264+I271+I279+I286+I450+I456+I462+I302+I314+I320</f>
        <v>86415019.13000001</v>
      </c>
      <c r="J219" s="69">
        <f t="shared" si="55"/>
        <v>98.01392418969732</v>
      </c>
      <c r="K219" s="68">
        <f>SUM(K220,K325,K344,K369,K372,K393,K400,K403,K420,K435)</f>
        <v>4320804</v>
      </c>
      <c r="L219" s="288">
        <f>SUM(L220,L325,L344,L369,L372,L393,L400,L403,L420,L435)</f>
        <v>3951890.8600000003</v>
      </c>
      <c r="M219" s="288">
        <f>L219*100/K219</f>
        <v>91.46193301061562</v>
      </c>
    </row>
    <row r="220" spans="1:13" s="16" customFormat="1" ht="15.75" customHeight="1">
      <c r="A220" s="121"/>
      <c r="B220" s="121">
        <v>80101</v>
      </c>
      <c r="C220" s="121"/>
      <c r="D220" s="78" t="s">
        <v>16</v>
      </c>
      <c r="E220" s="248">
        <f>SUM(E221:E247)</f>
        <v>44925734</v>
      </c>
      <c r="F220" s="195">
        <f>SUM(F221:F247)</f>
        <v>44023644.12000002</v>
      </c>
      <c r="G220" s="195">
        <f t="shared" si="54"/>
        <v>97.99204197754459</v>
      </c>
      <c r="H220" s="248">
        <f>SUM(H221:H247)</f>
        <v>41212734</v>
      </c>
      <c r="I220" s="195">
        <f>SUM(I221:I247)</f>
        <v>40675877.83000001</v>
      </c>
      <c r="J220" s="195">
        <f t="shared" si="55"/>
        <v>98.69735366258404</v>
      </c>
      <c r="K220" s="248">
        <f>SUM(K221:K247)</f>
        <v>3713000</v>
      </c>
      <c r="L220" s="195">
        <f>SUM(L221:L247)</f>
        <v>3347766.29</v>
      </c>
      <c r="M220" s="195">
        <f>L220*100/K220</f>
        <v>90.16337974683545</v>
      </c>
    </row>
    <row r="221" spans="1:13" s="16" customFormat="1" ht="24" customHeight="1">
      <c r="A221" s="117"/>
      <c r="B221" s="117"/>
      <c r="C221" s="39">
        <v>2540</v>
      </c>
      <c r="D221" s="116" t="s">
        <v>100</v>
      </c>
      <c r="E221" s="61">
        <v>3765000</v>
      </c>
      <c r="F221" s="325">
        <v>3763881.92</v>
      </c>
      <c r="G221" s="162">
        <f t="shared" si="54"/>
        <v>99.97030332005312</v>
      </c>
      <c r="H221" s="264">
        <f aca="true" t="shared" si="56" ref="H221:H245">E221</f>
        <v>3765000</v>
      </c>
      <c r="I221" s="192">
        <f aca="true" t="shared" si="57" ref="I221:I245">F221</f>
        <v>3763881.92</v>
      </c>
      <c r="J221" s="162">
        <f t="shared" si="55"/>
        <v>99.97030332005312</v>
      </c>
      <c r="K221" s="326"/>
      <c r="L221" s="325"/>
      <c r="M221" s="177"/>
    </row>
    <row r="222" spans="1:13" s="16" customFormat="1" ht="45.75" customHeight="1">
      <c r="A222" s="117"/>
      <c r="B222" s="117"/>
      <c r="C222" s="39">
        <v>2590</v>
      </c>
      <c r="D222" s="116" t="s">
        <v>211</v>
      </c>
      <c r="E222" s="57">
        <v>515000</v>
      </c>
      <c r="F222" s="197">
        <v>513467.19</v>
      </c>
      <c r="G222" s="161">
        <f t="shared" si="54"/>
        <v>99.70236699029127</v>
      </c>
      <c r="H222" s="265">
        <f t="shared" si="56"/>
        <v>515000</v>
      </c>
      <c r="I222" s="193">
        <f t="shared" si="57"/>
        <v>513467.19</v>
      </c>
      <c r="J222" s="161">
        <f t="shared" si="55"/>
        <v>99.70236699029127</v>
      </c>
      <c r="K222" s="272"/>
      <c r="L222" s="197"/>
      <c r="M222" s="168"/>
    </row>
    <row r="223" spans="1:13" s="17" customFormat="1" ht="11.25">
      <c r="A223" s="36"/>
      <c r="B223" s="36"/>
      <c r="C223" s="19">
        <v>3020</v>
      </c>
      <c r="D223" s="21" t="s">
        <v>112</v>
      </c>
      <c r="E223" s="241">
        <v>1214000</v>
      </c>
      <c r="F223" s="193">
        <v>1127139.76</v>
      </c>
      <c r="G223" s="162">
        <f t="shared" si="54"/>
        <v>92.84512026359144</v>
      </c>
      <c r="H223" s="264">
        <f t="shared" si="56"/>
        <v>1214000</v>
      </c>
      <c r="I223" s="192">
        <f t="shared" si="57"/>
        <v>1127139.76</v>
      </c>
      <c r="J223" s="162">
        <f t="shared" si="55"/>
        <v>92.84512026359144</v>
      </c>
      <c r="K223" s="265"/>
      <c r="L223" s="193"/>
      <c r="M223" s="168"/>
    </row>
    <row r="224" spans="1:13" s="17" customFormat="1" ht="11.25">
      <c r="A224" s="36"/>
      <c r="B224" s="36"/>
      <c r="C224" s="31">
        <v>4010</v>
      </c>
      <c r="D224" s="32" t="s">
        <v>41</v>
      </c>
      <c r="E224" s="241">
        <v>22353892</v>
      </c>
      <c r="F224" s="193">
        <v>22297818.79</v>
      </c>
      <c r="G224" s="162">
        <f t="shared" si="54"/>
        <v>99.74915683586553</v>
      </c>
      <c r="H224" s="264">
        <f t="shared" si="56"/>
        <v>22353892</v>
      </c>
      <c r="I224" s="192">
        <f t="shared" si="57"/>
        <v>22297818.79</v>
      </c>
      <c r="J224" s="162">
        <f t="shared" si="55"/>
        <v>99.74915683586553</v>
      </c>
      <c r="K224" s="265"/>
      <c r="L224" s="193"/>
      <c r="M224" s="168"/>
    </row>
    <row r="225" spans="1:13" s="17" customFormat="1" ht="11.25">
      <c r="A225" s="36"/>
      <c r="B225" s="36"/>
      <c r="C225" s="31">
        <v>4040</v>
      </c>
      <c r="D225" s="32" t="s">
        <v>42</v>
      </c>
      <c r="E225" s="241">
        <v>1495985</v>
      </c>
      <c r="F225" s="193">
        <v>1495982.1</v>
      </c>
      <c r="G225" s="162">
        <f t="shared" si="54"/>
        <v>99.99980614778892</v>
      </c>
      <c r="H225" s="264">
        <f t="shared" si="56"/>
        <v>1495985</v>
      </c>
      <c r="I225" s="192">
        <f t="shared" si="57"/>
        <v>1495982.1</v>
      </c>
      <c r="J225" s="162">
        <f t="shared" si="55"/>
        <v>99.99980614778892</v>
      </c>
      <c r="K225" s="265"/>
      <c r="L225" s="193"/>
      <c r="M225" s="168"/>
    </row>
    <row r="226" spans="1:13" s="17" customFormat="1" ht="11.25">
      <c r="A226" s="36"/>
      <c r="B226" s="36"/>
      <c r="C226" s="31">
        <v>4110</v>
      </c>
      <c r="D226" s="32" t="s">
        <v>43</v>
      </c>
      <c r="E226" s="241">
        <v>4135000</v>
      </c>
      <c r="F226" s="193">
        <v>4126303.28</v>
      </c>
      <c r="G226" s="162">
        <f t="shared" si="54"/>
        <v>99.78968029020557</v>
      </c>
      <c r="H226" s="264">
        <f t="shared" si="56"/>
        <v>4135000</v>
      </c>
      <c r="I226" s="192">
        <f t="shared" si="57"/>
        <v>4126303.28</v>
      </c>
      <c r="J226" s="162">
        <f t="shared" si="55"/>
        <v>99.78968029020557</v>
      </c>
      <c r="K226" s="265"/>
      <c r="L226" s="193"/>
      <c r="M226" s="168"/>
    </row>
    <row r="227" spans="1:13" s="17" customFormat="1" ht="11.25">
      <c r="A227" s="36"/>
      <c r="B227" s="36"/>
      <c r="C227" s="31">
        <v>4120</v>
      </c>
      <c r="D227" s="32" t="s">
        <v>34</v>
      </c>
      <c r="E227" s="241">
        <v>468300</v>
      </c>
      <c r="F227" s="193">
        <v>458695.29</v>
      </c>
      <c r="G227" s="161">
        <f t="shared" si="54"/>
        <v>97.94902626521461</v>
      </c>
      <c r="H227" s="265">
        <f t="shared" si="56"/>
        <v>468300</v>
      </c>
      <c r="I227" s="193">
        <f t="shared" si="57"/>
        <v>458695.29</v>
      </c>
      <c r="J227" s="161">
        <f t="shared" si="55"/>
        <v>97.94902626521461</v>
      </c>
      <c r="K227" s="265"/>
      <c r="L227" s="193"/>
      <c r="M227" s="168"/>
    </row>
    <row r="228" spans="1:13" s="17" customFormat="1" ht="11.25">
      <c r="A228" s="36"/>
      <c r="B228" s="36"/>
      <c r="C228" s="31">
        <v>4140</v>
      </c>
      <c r="D228" s="32" t="s">
        <v>258</v>
      </c>
      <c r="E228" s="241">
        <v>3000</v>
      </c>
      <c r="F228" s="193">
        <v>788</v>
      </c>
      <c r="G228" s="161">
        <f t="shared" si="54"/>
        <v>26.266666666666666</v>
      </c>
      <c r="H228" s="265">
        <f t="shared" si="56"/>
        <v>3000</v>
      </c>
      <c r="I228" s="193">
        <f t="shared" si="57"/>
        <v>788</v>
      </c>
      <c r="J228" s="161">
        <f t="shared" si="55"/>
        <v>26.266666666666666</v>
      </c>
      <c r="K228" s="265"/>
      <c r="L228" s="193"/>
      <c r="M228" s="168"/>
    </row>
    <row r="229" spans="1:13" s="17" customFormat="1" ht="11.25">
      <c r="A229" s="36"/>
      <c r="B229" s="36"/>
      <c r="C229" s="31">
        <v>4170</v>
      </c>
      <c r="D229" s="32" t="s">
        <v>114</v>
      </c>
      <c r="E229" s="241">
        <v>459600</v>
      </c>
      <c r="F229" s="193">
        <v>384615.45</v>
      </c>
      <c r="G229" s="161">
        <f t="shared" si="54"/>
        <v>83.68482375979113</v>
      </c>
      <c r="H229" s="265">
        <f t="shared" si="56"/>
        <v>459600</v>
      </c>
      <c r="I229" s="193">
        <f t="shared" si="57"/>
        <v>384615.45</v>
      </c>
      <c r="J229" s="161">
        <f t="shared" si="55"/>
        <v>83.68482375979113</v>
      </c>
      <c r="K229" s="265"/>
      <c r="L229" s="193"/>
      <c r="M229" s="168"/>
    </row>
    <row r="230" spans="1:13" s="17" customFormat="1" ht="11.25">
      <c r="A230" s="36"/>
      <c r="B230" s="36"/>
      <c r="C230" s="31">
        <v>4190</v>
      </c>
      <c r="D230" s="313" t="s">
        <v>215</v>
      </c>
      <c r="E230" s="241">
        <v>13500</v>
      </c>
      <c r="F230" s="193">
        <v>8194.84</v>
      </c>
      <c r="G230" s="161">
        <f t="shared" si="54"/>
        <v>60.70251851851852</v>
      </c>
      <c r="H230" s="265">
        <f t="shared" si="56"/>
        <v>13500</v>
      </c>
      <c r="I230" s="193">
        <f t="shared" si="57"/>
        <v>8194.84</v>
      </c>
      <c r="J230" s="161">
        <f t="shared" si="55"/>
        <v>60.70251851851852</v>
      </c>
      <c r="K230" s="265"/>
      <c r="L230" s="193"/>
      <c r="M230" s="168"/>
    </row>
    <row r="231" spans="1:13" s="17" customFormat="1" ht="11.25">
      <c r="A231" s="36"/>
      <c r="B231" s="36"/>
      <c r="C231" s="31">
        <v>4210</v>
      </c>
      <c r="D231" s="313" t="s">
        <v>35</v>
      </c>
      <c r="E231" s="241">
        <v>885600</v>
      </c>
      <c r="F231" s="193">
        <v>858882.74</v>
      </c>
      <c r="G231" s="161">
        <f t="shared" si="54"/>
        <v>96.98314588979223</v>
      </c>
      <c r="H231" s="265">
        <f t="shared" si="56"/>
        <v>885600</v>
      </c>
      <c r="I231" s="193">
        <f t="shared" si="57"/>
        <v>858882.74</v>
      </c>
      <c r="J231" s="161">
        <f t="shared" si="55"/>
        <v>96.98314588979223</v>
      </c>
      <c r="K231" s="265"/>
      <c r="L231" s="193"/>
      <c r="M231" s="168"/>
    </row>
    <row r="232" spans="1:13" s="17" customFormat="1" ht="11.25">
      <c r="A232" s="36"/>
      <c r="B232" s="36"/>
      <c r="C232" s="31">
        <v>4220</v>
      </c>
      <c r="D232" s="74" t="s">
        <v>256</v>
      </c>
      <c r="E232" s="241">
        <v>13000</v>
      </c>
      <c r="F232" s="193">
        <v>12719.07</v>
      </c>
      <c r="G232" s="161">
        <f t="shared" si="54"/>
        <v>97.839</v>
      </c>
      <c r="H232" s="265">
        <f t="shared" si="56"/>
        <v>13000</v>
      </c>
      <c r="I232" s="193">
        <f t="shared" si="57"/>
        <v>12719.07</v>
      </c>
      <c r="J232" s="161">
        <f t="shared" si="55"/>
        <v>97.839</v>
      </c>
      <c r="K232" s="265"/>
      <c r="L232" s="193"/>
      <c r="M232" s="168"/>
    </row>
    <row r="233" spans="1:13" s="17" customFormat="1" ht="18.75" customHeight="1">
      <c r="A233" s="36"/>
      <c r="B233" s="36"/>
      <c r="C233" s="31">
        <v>4240</v>
      </c>
      <c r="D233" s="525" t="s">
        <v>252</v>
      </c>
      <c r="E233" s="241">
        <v>302550</v>
      </c>
      <c r="F233" s="193">
        <v>293576.88</v>
      </c>
      <c r="G233" s="161">
        <f t="shared" si="54"/>
        <v>97.03416955875062</v>
      </c>
      <c r="H233" s="265">
        <f t="shared" si="56"/>
        <v>302550</v>
      </c>
      <c r="I233" s="193">
        <f t="shared" si="57"/>
        <v>293576.88</v>
      </c>
      <c r="J233" s="161">
        <f t="shared" si="55"/>
        <v>97.03416955875062</v>
      </c>
      <c r="K233" s="265"/>
      <c r="L233" s="193"/>
      <c r="M233" s="168"/>
    </row>
    <row r="234" spans="1:13" s="17" customFormat="1" ht="11.25">
      <c r="A234" s="36"/>
      <c r="B234" s="36"/>
      <c r="C234" s="31">
        <v>4260</v>
      </c>
      <c r="D234" s="313" t="s">
        <v>61</v>
      </c>
      <c r="E234" s="241">
        <v>1552142</v>
      </c>
      <c r="F234" s="193">
        <v>1538483.65</v>
      </c>
      <c r="G234" s="162">
        <f t="shared" si="54"/>
        <v>99.12003218777663</v>
      </c>
      <c r="H234" s="264">
        <f t="shared" si="56"/>
        <v>1552142</v>
      </c>
      <c r="I234" s="192">
        <f t="shared" si="57"/>
        <v>1538483.65</v>
      </c>
      <c r="J234" s="162">
        <f t="shared" si="55"/>
        <v>99.12003218777663</v>
      </c>
      <c r="K234" s="265"/>
      <c r="L234" s="193"/>
      <c r="M234" s="168"/>
    </row>
    <row r="235" spans="1:13" s="17" customFormat="1" ht="11.25">
      <c r="A235" s="36"/>
      <c r="B235" s="36"/>
      <c r="C235" s="31">
        <v>4270</v>
      </c>
      <c r="D235" s="32" t="s">
        <v>54</v>
      </c>
      <c r="E235" s="241">
        <v>432000</v>
      </c>
      <c r="F235" s="193">
        <v>406584.78</v>
      </c>
      <c r="G235" s="161">
        <f t="shared" si="54"/>
        <v>94.11684722222222</v>
      </c>
      <c r="H235" s="265">
        <f t="shared" si="56"/>
        <v>432000</v>
      </c>
      <c r="I235" s="193">
        <f t="shared" si="57"/>
        <v>406584.78</v>
      </c>
      <c r="J235" s="161">
        <f t="shared" si="55"/>
        <v>94.11684722222222</v>
      </c>
      <c r="K235" s="265"/>
      <c r="L235" s="193"/>
      <c r="M235" s="168"/>
    </row>
    <row r="236" spans="1:13" s="17" customFormat="1" ht="11.25">
      <c r="A236" s="36"/>
      <c r="B236" s="36"/>
      <c r="C236" s="19">
        <v>4280</v>
      </c>
      <c r="D236" s="21" t="s">
        <v>51</v>
      </c>
      <c r="E236" s="246">
        <v>35750</v>
      </c>
      <c r="F236" s="192">
        <v>31396.3</v>
      </c>
      <c r="G236" s="162">
        <f t="shared" si="54"/>
        <v>87.82181818181819</v>
      </c>
      <c r="H236" s="264">
        <f t="shared" si="56"/>
        <v>35750</v>
      </c>
      <c r="I236" s="192">
        <f t="shared" si="57"/>
        <v>31396.3</v>
      </c>
      <c r="J236" s="162">
        <f t="shared" si="55"/>
        <v>87.82181818181819</v>
      </c>
      <c r="K236" s="264"/>
      <c r="L236" s="192"/>
      <c r="M236" s="177"/>
    </row>
    <row r="237" spans="1:13" s="17" customFormat="1" ht="13.5" customHeight="1">
      <c r="A237" s="46"/>
      <c r="B237" s="46"/>
      <c r="C237" s="41">
        <v>4300</v>
      </c>
      <c r="D237" s="42" t="s">
        <v>39</v>
      </c>
      <c r="E237" s="244">
        <v>2051419</v>
      </c>
      <c r="F237" s="190">
        <v>1877184.33</v>
      </c>
      <c r="G237" s="160">
        <f t="shared" si="54"/>
        <v>91.50662687632317</v>
      </c>
      <c r="H237" s="266">
        <f t="shared" si="56"/>
        <v>2051419</v>
      </c>
      <c r="I237" s="190">
        <f t="shared" si="57"/>
        <v>1877184.33</v>
      </c>
      <c r="J237" s="160">
        <f t="shared" si="55"/>
        <v>91.50662687632317</v>
      </c>
      <c r="K237" s="266"/>
      <c r="L237" s="190"/>
      <c r="M237" s="176"/>
    </row>
    <row r="238" spans="1:13" s="17" customFormat="1" ht="12" customHeight="1">
      <c r="A238" s="76"/>
      <c r="B238" s="76"/>
      <c r="C238" s="49">
        <v>4360</v>
      </c>
      <c r="D238" s="51" t="s">
        <v>209</v>
      </c>
      <c r="E238" s="390">
        <v>81800</v>
      </c>
      <c r="F238" s="391">
        <v>69467.19</v>
      </c>
      <c r="G238" s="387">
        <f t="shared" si="54"/>
        <v>84.92321515892421</v>
      </c>
      <c r="H238" s="267">
        <f t="shared" si="56"/>
        <v>81800</v>
      </c>
      <c r="I238" s="391">
        <f t="shared" si="57"/>
        <v>69467.19</v>
      </c>
      <c r="J238" s="387">
        <f t="shared" si="55"/>
        <v>84.92321515892421</v>
      </c>
      <c r="K238" s="267"/>
      <c r="L238" s="391"/>
      <c r="M238" s="389"/>
    </row>
    <row r="239" spans="1:13" s="17" customFormat="1" ht="11.25">
      <c r="A239" s="36"/>
      <c r="B239" s="36"/>
      <c r="C239" s="31">
        <v>4410</v>
      </c>
      <c r="D239" s="32" t="s">
        <v>49</v>
      </c>
      <c r="E239" s="241">
        <v>47800</v>
      </c>
      <c r="F239" s="193">
        <v>32164.83</v>
      </c>
      <c r="G239" s="161">
        <f t="shared" si="54"/>
        <v>67.29043933054393</v>
      </c>
      <c r="H239" s="265">
        <f t="shared" si="56"/>
        <v>47800</v>
      </c>
      <c r="I239" s="193">
        <f t="shared" si="57"/>
        <v>32164.83</v>
      </c>
      <c r="J239" s="161">
        <f t="shared" si="55"/>
        <v>67.29043933054393</v>
      </c>
      <c r="K239" s="265"/>
      <c r="L239" s="193"/>
      <c r="M239" s="168"/>
    </row>
    <row r="240" spans="1:13" s="17" customFormat="1" ht="11.25">
      <c r="A240" s="36"/>
      <c r="B240" s="36"/>
      <c r="C240" s="31">
        <v>4420</v>
      </c>
      <c r="D240" s="32" t="s">
        <v>139</v>
      </c>
      <c r="E240" s="241">
        <v>8000</v>
      </c>
      <c r="F240" s="193">
        <v>3596.82</v>
      </c>
      <c r="G240" s="161">
        <f t="shared" si="54"/>
        <v>44.96025</v>
      </c>
      <c r="H240" s="265">
        <f t="shared" si="56"/>
        <v>8000</v>
      </c>
      <c r="I240" s="193">
        <f t="shared" si="57"/>
        <v>3596.82</v>
      </c>
      <c r="J240" s="161">
        <f t="shared" si="55"/>
        <v>44.96025</v>
      </c>
      <c r="K240" s="265"/>
      <c r="L240" s="193"/>
      <c r="M240" s="168"/>
    </row>
    <row r="241" spans="1:13" s="17" customFormat="1" ht="11.25">
      <c r="A241" s="36"/>
      <c r="B241" s="36"/>
      <c r="C241" s="31">
        <v>4430</v>
      </c>
      <c r="D241" s="32" t="s">
        <v>62</v>
      </c>
      <c r="E241" s="241">
        <v>32200</v>
      </c>
      <c r="F241" s="193">
        <v>30364</v>
      </c>
      <c r="G241" s="161">
        <f t="shared" si="54"/>
        <v>94.29813664596273</v>
      </c>
      <c r="H241" s="265">
        <f t="shared" si="56"/>
        <v>32200</v>
      </c>
      <c r="I241" s="193">
        <f t="shared" si="57"/>
        <v>30364</v>
      </c>
      <c r="J241" s="161">
        <f t="shared" si="55"/>
        <v>94.29813664596273</v>
      </c>
      <c r="K241" s="265"/>
      <c r="L241" s="193"/>
      <c r="M241" s="168"/>
    </row>
    <row r="242" spans="1:13" s="17" customFormat="1" ht="21">
      <c r="A242" s="36"/>
      <c r="B242" s="36"/>
      <c r="C242" s="31">
        <v>4440</v>
      </c>
      <c r="D242" s="32" t="s">
        <v>63</v>
      </c>
      <c r="E242" s="241">
        <v>1195446</v>
      </c>
      <c r="F242" s="193">
        <v>1195446</v>
      </c>
      <c r="G242" s="161">
        <f t="shared" si="54"/>
        <v>100</v>
      </c>
      <c r="H242" s="265">
        <f t="shared" si="56"/>
        <v>1195446</v>
      </c>
      <c r="I242" s="193">
        <f t="shared" si="57"/>
        <v>1195446</v>
      </c>
      <c r="J242" s="161">
        <f t="shared" si="55"/>
        <v>100</v>
      </c>
      <c r="K242" s="265"/>
      <c r="L242" s="193"/>
      <c r="M242" s="168"/>
    </row>
    <row r="243" spans="1:13" s="17" customFormat="1" ht="11.25">
      <c r="A243" s="36"/>
      <c r="B243" s="36"/>
      <c r="C243" s="33">
        <v>4480</v>
      </c>
      <c r="D243" s="32" t="s">
        <v>198</v>
      </c>
      <c r="E243" s="241">
        <v>200</v>
      </c>
      <c r="F243" s="193">
        <v>183</v>
      </c>
      <c r="G243" s="162">
        <f t="shared" si="54"/>
        <v>91.5</v>
      </c>
      <c r="H243" s="264">
        <f t="shared" si="56"/>
        <v>200</v>
      </c>
      <c r="I243" s="192">
        <f t="shared" si="57"/>
        <v>183</v>
      </c>
      <c r="J243" s="162">
        <f t="shared" si="55"/>
        <v>91.5</v>
      </c>
      <c r="K243" s="265"/>
      <c r="L243" s="193"/>
      <c r="M243" s="168"/>
    </row>
    <row r="244" spans="1:13" s="17" customFormat="1" ht="11.25">
      <c r="A244" s="36"/>
      <c r="B244" s="36"/>
      <c r="C244" s="33">
        <v>4520</v>
      </c>
      <c r="D244" s="32" t="s">
        <v>200</v>
      </c>
      <c r="E244" s="241">
        <v>112550</v>
      </c>
      <c r="F244" s="193">
        <v>110789.24</v>
      </c>
      <c r="G244" s="162">
        <f t="shared" si="54"/>
        <v>98.43557529986673</v>
      </c>
      <c r="H244" s="264">
        <f t="shared" si="56"/>
        <v>112550</v>
      </c>
      <c r="I244" s="192">
        <f t="shared" si="57"/>
        <v>110789.24</v>
      </c>
      <c r="J244" s="162">
        <f t="shared" si="55"/>
        <v>98.43557529986673</v>
      </c>
      <c r="K244" s="265"/>
      <c r="L244" s="193"/>
      <c r="M244" s="168"/>
    </row>
    <row r="245" spans="1:13" s="17" customFormat="1" ht="21">
      <c r="A245" s="36"/>
      <c r="B245" s="36"/>
      <c r="C245" s="33">
        <v>4700</v>
      </c>
      <c r="D245" s="34" t="s">
        <v>170</v>
      </c>
      <c r="E245" s="241">
        <v>39000</v>
      </c>
      <c r="F245" s="193">
        <v>38152.38</v>
      </c>
      <c r="G245" s="162">
        <f t="shared" si="54"/>
        <v>97.82661538461537</v>
      </c>
      <c r="H245" s="264">
        <f t="shared" si="56"/>
        <v>39000</v>
      </c>
      <c r="I245" s="192">
        <f t="shared" si="57"/>
        <v>38152.38</v>
      </c>
      <c r="J245" s="162">
        <f t="shared" si="55"/>
        <v>97.82661538461537</v>
      </c>
      <c r="K245" s="265"/>
      <c r="L245" s="193"/>
      <c r="M245" s="168"/>
    </row>
    <row r="246" spans="1:13" s="17" customFormat="1" ht="11.25">
      <c r="A246" s="36"/>
      <c r="B246" s="36"/>
      <c r="C246" s="31">
        <v>6050</v>
      </c>
      <c r="D246" s="32" t="s">
        <v>64</v>
      </c>
      <c r="E246" s="241">
        <v>3410000</v>
      </c>
      <c r="F246" s="193">
        <v>3044881.2</v>
      </c>
      <c r="G246" s="161">
        <f t="shared" si="54"/>
        <v>89.29270381231672</v>
      </c>
      <c r="H246" s="265"/>
      <c r="I246" s="193"/>
      <c r="J246" s="161"/>
      <c r="K246" s="265">
        <f>E246</f>
        <v>3410000</v>
      </c>
      <c r="L246" s="193">
        <f>F246</f>
        <v>3044881.2</v>
      </c>
      <c r="M246" s="161">
        <f>L246*100/K246</f>
        <v>89.29270381231672</v>
      </c>
    </row>
    <row r="247" spans="1:13" s="17" customFormat="1" ht="21">
      <c r="A247" s="46"/>
      <c r="B247" s="46"/>
      <c r="C247" s="46">
        <v>6060</v>
      </c>
      <c r="D247" s="94" t="s">
        <v>117</v>
      </c>
      <c r="E247" s="247">
        <v>303000</v>
      </c>
      <c r="F247" s="202">
        <v>302885.09</v>
      </c>
      <c r="G247" s="166">
        <f t="shared" si="54"/>
        <v>99.96207590759077</v>
      </c>
      <c r="H247" s="269"/>
      <c r="I247" s="202"/>
      <c r="J247" s="166"/>
      <c r="K247" s="269">
        <f>E247</f>
        <v>303000</v>
      </c>
      <c r="L247" s="202">
        <f>F247</f>
        <v>302885.09</v>
      </c>
      <c r="M247" s="166">
        <f>L247*100/K247</f>
        <v>99.96207590759077</v>
      </c>
    </row>
    <row r="248" spans="1:13" s="17" customFormat="1" ht="42">
      <c r="A248" s="290"/>
      <c r="B248" s="290">
        <v>80101</v>
      </c>
      <c r="C248" s="290"/>
      <c r="D248" s="289" t="s">
        <v>260</v>
      </c>
      <c r="E248" s="291">
        <f>SUM(E249:E253)</f>
        <v>102629</v>
      </c>
      <c r="F248" s="292">
        <f>SUM(F249:F253)</f>
        <v>100785.14</v>
      </c>
      <c r="G248" s="292">
        <f t="shared" si="54"/>
        <v>98.20337331553459</v>
      </c>
      <c r="H248" s="291">
        <f>SUM(H249:H253)</f>
        <v>102629</v>
      </c>
      <c r="I248" s="292">
        <f>SUM(I249:I253)</f>
        <v>100785.14</v>
      </c>
      <c r="J248" s="292">
        <f>I248*100/H248</f>
        <v>98.20337331553459</v>
      </c>
      <c r="K248" s="291"/>
      <c r="L248" s="292"/>
      <c r="M248" s="293"/>
    </row>
    <row r="249" spans="1:13" s="17" customFormat="1" ht="11.25">
      <c r="A249" s="33"/>
      <c r="B249" s="33"/>
      <c r="C249" s="31">
        <v>4111</v>
      </c>
      <c r="D249" s="32" t="s">
        <v>43</v>
      </c>
      <c r="E249" s="241">
        <v>743</v>
      </c>
      <c r="F249" s="193">
        <v>605.94</v>
      </c>
      <c r="G249" s="58">
        <v>81.55316285329745</v>
      </c>
      <c r="H249" s="265">
        <v>743</v>
      </c>
      <c r="I249" s="193">
        <v>605.94</v>
      </c>
      <c r="J249" s="315">
        <v>81.55316285329745</v>
      </c>
      <c r="K249" s="265"/>
      <c r="L249" s="308"/>
      <c r="M249" s="161"/>
    </row>
    <row r="250" spans="1:13" s="17" customFormat="1" ht="11.25">
      <c r="A250" s="36"/>
      <c r="B250" s="36"/>
      <c r="C250" s="36">
        <v>4121</v>
      </c>
      <c r="D250" s="37" t="s">
        <v>34</v>
      </c>
      <c r="E250" s="242">
        <v>106</v>
      </c>
      <c r="F250" s="199">
        <v>86.36</v>
      </c>
      <c r="G250" s="35">
        <v>81.47169811320755</v>
      </c>
      <c r="H250" s="268">
        <v>106</v>
      </c>
      <c r="I250" s="199">
        <v>86.36</v>
      </c>
      <c r="J250" s="415">
        <v>81.47169811320755</v>
      </c>
      <c r="K250" s="268"/>
      <c r="L250" s="416"/>
      <c r="M250" s="163"/>
    </row>
    <row r="251" spans="1:13" s="17" customFormat="1" ht="11.25">
      <c r="A251" s="36"/>
      <c r="B251" s="36"/>
      <c r="C251" s="36">
        <v>4171</v>
      </c>
      <c r="D251" s="37" t="s">
        <v>251</v>
      </c>
      <c r="E251" s="242">
        <v>4320</v>
      </c>
      <c r="F251" s="199">
        <v>4320</v>
      </c>
      <c r="G251" s="35">
        <v>100</v>
      </c>
      <c r="H251" s="268">
        <v>4320</v>
      </c>
      <c r="I251" s="199">
        <v>4320</v>
      </c>
      <c r="J251" s="415">
        <v>100</v>
      </c>
      <c r="K251" s="268"/>
      <c r="L251" s="416"/>
      <c r="M251" s="163"/>
    </row>
    <row r="252" spans="1:13" s="17" customFormat="1" ht="11.25">
      <c r="A252" s="36"/>
      <c r="B252" s="36"/>
      <c r="C252" s="36">
        <v>4211</v>
      </c>
      <c r="D252" s="37" t="s">
        <v>35</v>
      </c>
      <c r="E252" s="242">
        <v>1687</v>
      </c>
      <c r="F252" s="199">
        <v>0</v>
      </c>
      <c r="G252" s="35">
        <v>0</v>
      </c>
      <c r="H252" s="268">
        <v>1687</v>
      </c>
      <c r="I252" s="199">
        <v>0</v>
      </c>
      <c r="J252" s="415">
        <v>0</v>
      </c>
      <c r="K252" s="268"/>
      <c r="L252" s="416"/>
      <c r="M252" s="163"/>
    </row>
    <row r="253" spans="1:13" s="17" customFormat="1" ht="21">
      <c r="A253" s="46"/>
      <c r="B253" s="46"/>
      <c r="C253" s="46">
        <v>4701</v>
      </c>
      <c r="D253" s="94" t="s">
        <v>170</v>
      </c>
      <c r="E253" s="247">
        <v>95773</v>
      </c>
      <c r="F253" s="202">
        <v>95772.84</v>
      </c>
      <c r="G253" s="342">
        <v>99.99983293830202</v>
      </c>
      <c r="H253" s="269">
        <v>95773</v>
      </c>
      <c r="I253" s="202">
        <v>95772.84</v>
      </c>
      <c r="J253" s="365">
        <v>99.99983293830202</v>
      </c>
      <c r="K253" s="269"/>
      <c r="L253" s="202"/>
      <c r="M253" s="166"/>
    </row>
    <row r="254" spans="1:13" s="17" customFormat="1" ht="48" customHeight="1">
      <c r="A254" s="110"/>
      <c r="B254" s="110">
        <v>80101</v>
      </c>
      <c r="C254" s="110"/>
      <c r="D254" s="112" t="s">
        <v>261</v>
      </c>
      <c r="E254" s="243">
        <f>SUM(E255:E260)</f>
        <v>219514</v>
      </c>
      <c r="F254" s="196">
        <f>SUM(F255:F260)</f>
        <v>185920.88</v>
      </c>
      <c r="G254" s="196">
        <f>F254*100/E254</f>
        <v>84.69659338356551</v>
      </c>
      <c r="H254" s="243">
        <f>SUM(H255:H260)</f>
        <v>219514</v>
      </c>
      <c r="I254" s="196">
        <f>SUM(I255:I260)</f>
        <v>185920.88</v>
      </c>
      <c r="J254" s="196">
        <f>I254*100/H254</f>
        <v>84.69659338356551</v>
      </c>
      <c r="K254" s="243"/>
      <c r="L254" s="196"/>
      <c r="M254" s="165"/>
    </row>
    <row r="255" spans="1:13" s="17" customFormat="1" ht="11.25">
      <c r="A255" s="33"/>
      <c r="B255" s="33"/>
      <c r="C255" s="31">
        <v>4111</v>
      </c>
      <c r="D255" s="32" t="s">
        <v>43</v>
      </c>
      <c r="E255" s="241">
        <v>1290</v>
      </c>
      <c r="F255" s="193">
        <v>0</v>
      </c>
      <c r="G255" s="315">
        <v>0</v>
      </c>
      <c r="H255" s="265">
        <v>1290</v>
      </c>
      <c r="I255" s="193">
        <v>0</v>
      </c>
      <c r="J255" s="315">
        <v>0</v>
      </c>
      <c r="K255" s="265"/>
      <c r="L255" s="308"/>
      <c r="M255" s="161"/>
    </row>
    <row r="256" spans="1:13" s="17" customFormat="1" ht="11.25">
      <c r="A256" s="36"/>
      <c r="B256" s="36"/>
      <c r="C256" s="31">
        <v>4121</v>
      </c>
      <c r="D256" s="32" t="s">
        <v>34</v>
      </c>
      <c r="E256" s="241">
        <v>220</v>
      </c>
      <c r="F256" s="193">
        <v>0</v>
      </c>
      <c r="G256" s="315">
        <v>0</v>
      </c>
      <c r="H256" s="265">
        <v>220</v>
      </c>
      <c r="I256" s="193">
        <v>0</v>
      </c>
      <c r="J256" s="315">
        <v>0</v>
      </c>
      <c r="K256" s="265"/>
      <c r="L256" s="193"/>
      <c r="M256" s="161"/>
    </row>
    <row r="257" spans="1:13" s="17" customFormat="1" ht="11.25">
      <c r="A257" s="36"/>
      <c r="B257" s="36"/>
      <c r="C257" s="33">
        <v>4171</v>
      </c>
      <c r="D257" s="34" t="s">
        <v>251</v>
      </c>
      <c r="E257" s="245">
        <v>7500</v>
      </c>
      <c r="F257" s="194">
        <v>0</v>
      </c>
      <c r="G257" s="417">
        <v>0</v>
      </c>
      <c r="H257" s="263">
        <v>7500</v>
      </c>
      <c r="I257" s="194">
        <v>0</v>
      </c>
      <c r="J257" s="417">
        <v>0</v>
      </c>
      <c r="K257" s="263"/>
      <c r="L257" s="194"/>
      <c r="M257" s="164"/>
    </row>
    <row r="258" spans="1:13" s="17" customFormat="1" ht="11.25">
      <c r="A258" s="36"/>
      <c r="B258" s="36"/>
      <c r="C258" s="33">
        <v>4211</v>
      </c>
      <c r="D258" s="34" t="s">
        <v>35</v>
      </c>
      <c r="E258" s="245">
        <v>3410</v>
      </c>
      <c r="F258" s="194">
        <v>0</v>
      </c>
      <c r="G258" s="417">
        <v>0</v>
      </c>
      <c r="H258" s="263">
        <v>3410</v>
      </c>
      <c r="I258" s="194">
        <v>0</v>
      </c>
      <c r="J258" s="417">
        <v>0</v>
      </c>
      <c r="K258" s="263"/>
      <c r="L258" s="194"/>
      <c r="M258" s="164"/>
    </row>
    <row r="259" spans="1:13" s="17" customFormat="1" ht="11.25">
      <c r="A259" s="36"/>
      <c r="B259" s="36"/>
      <c r="C259" s="31">
        <v>4241</v>
      </c>
      <c r="D259" s="525" t="s">
        <v>252</v>
      </c>
      <c r="E259" s="245">
        <v>1000</v>
      </c>
      <c r="F259" s="194">
        <v>0</v>
      </c>
      <c r="G259" s="417">
        <v>0</v>
      </c>
      <c r="H259" s="263">
        <v>1000</v>
      </c>
      <c r="I259" s="194">
        <v>0</v>
      </c>
      <c r="J259" s="417">
        <v>0</v>
      </c>
      <c r="K259" s="263"/>
      <c r="L259" s="194"/>
      <c r="M259" s="164"/>
    </row>
    <row r="260" spans="1:13" s="17" customFormat="1" ht="21">
      <c r="A260" s="46"/>
      <c r="B260" s="46"/>
      <c r="C260" s="41">
        <v>4701</v>
      </c>
      <c r="D260" s="42" t="s">
        <v>170</v>
      </c>
      <c r="E260" s="244">
        <v>206094</v>
      </c>
      <c r="F260" s="190">
        <v>185920.88</v>
      </c>
      <c r="G260" s="160">
        <v>90.21168981144527</v>
      </c>
      <c r="H260" s="266">
        <v>206094</v>
      </c>
      <c r="I260" s="190">
        <v>185920.88</v>
      </c>
      <c r="J260" s="347">
        <v>90.21168981144527</v>
      </c>
      <c r="K260" s="266"/>
      <c r="L260" s="190"/>
      <c r="M260" s="160"/>
    </row>
    <row r="261" spans="1:13" s="17" customFormat="1" ht="11.25">
      <c r="A261" s="384"/>
      <c r="B261" s="384"/>
      <c r="C261" s="384"/>
      <c r="D261" s="385"/>
      <c r="E261" s="508"/>
      <c r="F261" s="509"/>
      <c r="G261" s="516"/>
      <c r="H261" s="510"/>
      <c r="I261" s="509"/>
      <c r="J261" s="516"/>
      <c r="K261" s="510"/>
      <c r="L261" s="509"/>
      <c r="M261" s="516"/>
    </row>
    <row r="262" spans="1:13" s="17" customFormat="1" ht="11.25">
      <c r="A262" s="511"/>
      <c r="B262" s="511"/>
      <c r="C262" s="511"/>
      <c r="D262" s="294"/>
      <c r="E262" s="512"/>
      <c r="F262" s="513"/>
      <c r="G262" s="517"/>
      <c r="H262" s="514"/>
      <c r="I262" s="513"/>
      <c r="J262" s="517"/>
      <c r="K262" s="514"/>
      <c r="L262" s="513"/>
      <c r="M262" s="517"/>
    </row>
    <row r="263" spans="1:13" s="17" customFormat="1" ht="11.25">
      <c r="A263" s="511"/>
      <c r="B263" s="511"/>
      <c r="C263" s="511"/>
      <c r="D263" s="294"/>
      <c r="E263" s="512"/>
      <c r="F263" s="513"/>
      <c r="G263" s="517"/>
      <c r="H263" s="514"/>
      <c r="I263" s="513"/>
      <c r="J263" s="517"/>
      <c r="K263" s="514"/>
      <c r="L263" s="513"/>
      <c r="M263" s="517"/>
    </row>
    <row r="264" spans="1:19" s="17" customFormat="1" ht="60" customHeight="1">
      <c r="A264" s="105"/>
      <c r="B264" s="105">
        <v>80101</v>
      </c>
      <c r="C264" s="105"/>
      <c r="D264" s="107" t="s">
        <v>262</v>
      </c>
      <c r="E264" s="240">
        <f>SUM(E265:E270)</f>
        <v>79516</v>
      </c>
      <c r="F264" s="108">
        <f>SUM(F265:F270)</f>
        <v>79509.4</v>
      </c>
      <c r="G264" s="108">
        <f>F264*100/E264</f>
        <v>99.99169978369132</v>
      </c>
      <c r="H264" s="240">
        <f>SUM(H265:H270)</f>
        <v>79516</v>
      </c>
      <c r="I264" s="108">
        <f>SUM(I265:I270)</f>
        <v>79509.4</v>
      </c>
      <c r="J264" s="108">
        <f>G264</f>
        <v>99.99169978369132</v>
      </c>
      <c r="K264" s="240"/>
      <c r="L264" s="108"/>
      <c r="M264" s="156"/>
      <c r="N264" s="362"/>
      <c r="O264" s="362"/>
      <c r="P264" s="362"/>
      <c r="Q264" s="362"/>
      <c r="R264" s="362"/>
      <c r="S264" s="363"/>
    </row>
    <row r="265" spans="1:13" s="17" customFormat="1" ht="11.25">
      <c r="A265" s="103"/>
      <c r="B265" s="103"/>
      <c r="C265" s="38">
        <v>4111</v>
      </c>
      <c r="D265" s="74" t="s">
        <v>43</v>
      </c>
      <c r="E265" s="57">
        <v>430</v>
      </c>
      <c r="F265" s="197">
        <v>429.75</v>
      </c>
      <c r="G265" s="161">
        <v>99.94186046511628</v>
      </c>
      <c r="H265" s="265">
        <v>430</v>
      </c>
      <c r="I265" s="193">
        <v>429.75</v>
      </c>
      <c r="J265" s="161">
        <v>99.94186046511628</v>
      </c>
      <c r="K265" s="272"/>
      <c r="L265" s="197"/>
      <c r="M265" s="168"/>
    </row>
    <row r="266" spans="1:13" s="17" customFormat="1" ht="11.25">
      <c r="A266" s="117"/>
      <c r="B266" s="117"/>
      <c r="C266" s="38">
        <v>4121</v>
      </c>
      <c r="D266" s="74" t="s">
        <v>34</v>
      </c>
      <c r="E266" s="57">
        <v>62</v>
      </c>
      <c r="F266" s="197">
        <v>61.25</v>
      </c>
      <c r="G266" s="161">
        <v>98.79032258064517</v>
      </c>
      <c r="H266" s="265">
        <v>62</v>
      </c>
      <c r="I266" s="193">
        <v>61.25</v>
      </c>
      <c r="J266" s="161">
        <v>98.79032258064517</v>
      </c>
      <c r="K266" s="272"/>
      <c r="L266" s="197"/>
      <c r="M266" s="168"/>
    </row>
    <row r="267" spans="1:13" s="17" customFormat="1" ht="11.25">
      <c r="A267" s="117"/>
      <c r="B267" s="117"/>
      <c r="C267" s="38">
        <v>4171</v>
      </c>
      <c r="D267" s="74" t="s">
        <v>251</v>
      </c>
      <c r="E267" s="57">
        <v>3000</v>
      </c>
      <c r="F267" s="197">
        <v>3000</v>
      </c>
      <c r="G267" s="161">
        <v>100</v>
      </c>
      <c r="H267" s="265">
        <v>3000</v>
      </c>
      <c r="I267" s="193">
        <v>3000</v>
      </c>
      <c r="J267" s="161">
        <v>100</v>
      </c>
      <c r="K267" s="272"/>
      <c r="L267" s="197"/>
      <c r="M267" s="168"/>
    </row>
    <row r="268" spans="1:13" s="17" customFormat="1" ht="11.25">
      <c r="A268" s="117"/>
      <c r="B268" s="117"/>
      <c r="C268" s="38">
        <v>4211</v>
      </c>
      <c r="D268" s="74" t="s">
        <v>35</v>
      </c>
      <c r="E268" s="57">
        <v>11200</v>
      </c>
      <c r="F268" s="197">
        <v>11200</v>
      </c>
      <c r="G268" s="161">
        <v>100</v>
      </c>
      <c r="H268" s="265">
        <v>11200</v>
      </c>
      <c r="I268" s="193">
        <v>11200</v>
      </c>
      <c r="J268" s="161">
        <v>100</v>
      </c>
      <c r="K268" s="272"/>
      <c r="L268" s="197"/>
      <c r="M268" s="168"/>
    </row>
    <row r="269" spans="1:13" s="17" customFormat="1" ht="11.25">
      <c r="A269" s="117"/>
      <c r="B269" s="117"/>
      <c r="C269" s="31">
        <v>4241</v>
      </c>
      <c r="D269" s="525" t="s">
        <v>252</v>
      </c>
      <c r="E269" s="57">
        <v>0</v>
      </c>
      <c r="F269" s="197">
        <v>0</v>
      </c>
      <c r="G269" s="161">
        <v>0</v>
      </c>
      <c r="H269" s="265">
        <v>0</v>
      </c>
      <c r="I269" s="193">
        <v>0</v>
      </c>
      <c r="J269" s="161">
        <v>0</v>
      </c>
      <c r="K269" s="272"/>
      <c r="L269" s="197"/>
      <c r="M269" s="168"/>
    </row>
    <row r="270" spans="1:13" s="17" customFormat="1" ht="21">
      <c r="A270" s="117"/>
      <c r="B270" s="117"/>
      <c r="C270" s="38">
        <v>4701</v>
      </c>
      <c r="D270" s="74" t="s">
        <v>170</v>
      </c>
      <c r="E270" s="57">
        <v>64824</v>
      </c>
      <c r="F270" s="197">
        <v>64818.4</v>
      </c>
      <c r="G270" s="161">
        <v>99.99136122423793</v>
      </c>
      <c r="H270" s="265">
        <v>64824</v>
      </c>
      <c r="I270" s="193">
        <v>64818.4</v>
      </c>
      <c r="J270" s="161">
        <v>99.99136122423793</v>
      </c>
      <c r="K270" s="272"/>
      <c r="L270" s="197"/>
      <c r="M270" s="168"/>
    </row>
    <row r="271" spans="1:13" s="17" customFormat="1" ht="38.25" customHeight="1">
      <c r="A271" s="108"/>
      <c r="B271" s="105">
        <v>80101</v>
      </c>
      <c r="C271" s="105"/>
      <c r="D271" s="309" t="s">
        <v>263</v>
      </c>
      <c r="E271" s="240">
        <f>SUM(E272:E278)</f>
        <v>81724</v>
      </c>
      <c r="F271" s="108">
        <f>SUM(F272:F278)</f>
        <v>37513.49</v>
      </c>
      <c r="G271" s="108">
        <f>F271*100/E271</f>
        <v>45.90266017326611</v>
      </c>
      <c r="H271" s="240">
        <f>E271</f>
        <v>81724</v>
      </c>
      <c r="I271" s="108">
        <f>F271</f>
        <v>37513.49</v>
      </c>
      <c r="J271" s="108">
        <f>G271</f>
        <v>45.90266017326611</v>
      </c>
      <c r="K271" s="240"/>
      <c r="L271" s="240"/>
      <c r="M271" s="240"/>
    </row>
    <row r="272" spans="1:13" s="17" customFormat="1" ht="11.25">
      <c r="A272" s="117"/>
      <c r="B272" s="117"/>
      <c r="C272" s="39">
        <v>4111</v>
      </c>
      <c r="D272" s="116" t="s">
        <v>43</v>
      </c>
      <c r="E272" s="61">
        <v>1032</v>
      </c>
      <c r="F272" s="325">
        <v>412.56</v>
      </c>
      <c r="G272" s="162">
        <v>39.97674418604651</v>
      </c>
      <c r="H272" s="264">
        <v>1032</v>
      </c>
      <c r="I272" s="192">
        <v>412.56</v>
      </c>
      <c r="J272" s="162">
        <v>39.97674418604651</v>
      </c>
      <c r="K272" s="326"/>
      <c r="L272" s="325"/>
      <c r="M272" s="177"/>
    </row>
    <row r="273" spans="1:13" s="17" customFormat="1" ht="11.25">
      <c r="A273" s="36"/>
      <c r="B273" s="36"/>
      <c r="C273" s="31">
        <v>4121</v>
      </c>
      <c r="D273" s="32" t="s">
        <v>34</v>
      </c>
      <c r="E273" s="241">
        <v>147</v>
      </c>
      <c r="F273" s="198">
        <v>58.8</v>
      </c>
      <c r="G273" s="161">
        <v>40</v>
      </c>
      <c r="H273" s="265">
        <v>147</v>
      </c>
      <c r="I273" s="193">
        <v>58.8</v>
      </c>
      <c r="J273" s="161">
        <v>40</v>
      </c>
      <c r="K273" s="273"/>
      <c r="L273" s="198"/>
      <c r="M273" s="168"/>
    </row>
    <row r="274" spans="1:13" s="17" customFormat="1" ht="11.25">
      <c r="A274" s="36"/>
      <c r="B274" s="36"/>
      <c r="C274" s="19">
        <v>4171</v>
      </c>
      <c r="D274" s="21" t="s">
        <v>251</v>
      </c>
      <c r="E274" s="246">
        <v>6000</v>
      </c>
      <c r="F274" s="327">
        <v>5104</v>
      </c>
      <c r="G274" s="162">
        <v>85.06666666666666</v>
      </c>
      <c r="H274" s="264">
        <v>6000</v>
      </c>
      <c r="I274" s="192">
        <v>5104</v>
      </c>
      <c r="J274" s="162">
        <v>85.06666666666666</v>
      </c>
      <c r="K274" s="328"/>
      <c r="L274" s="327"/>
      <c r="M274" s="177"/>
    </row>
    <row r="275" spans="1:13" s="17" customFormat="1" ht="11.25">
      <c r="A275" s="36"/>
      <c r="B275" s="36"/>
      <c r="C275" s="31">
        <v>4211</v>
      </c>
      <c r="D275" s="32" t="s">
        <v>35</v>
      </c>
      <c r="E275" s="241">
        <v>32286</v>
      </c>
      <c r="F275" s="198">
        <v>12623.83</v>
      </c>
      <c r="G275" s="162">
        <v>39.100012389270894</v>
      </c>
      <c r="H275" s="264">
        <v>32286</v>
      </c>
      <c r="I275" s="192">
        <v>12623.83</v>
      </c>
      <c r="J275" s="162">
        <v>39.100012389270894</v>
      </c>
      <c r="K275" s="273"/>
      <c r="L275" s="198"/>
      <c r="M275" s="168"/>
    </row>
    <row r="276" spans="1:13" s="17" customFormat="1" ht="11.25">
      <c r="A276" s="36"/>
      <c r="B276" s="36"/>
      <c r="C276" s="31">
        <v>4241</v>
      </c>
      <c r="D276" s="525" t="s">
        <v>252</v>
      </c>
      <c r="E276" s="241">
        <v>12000</v>
      </c>
      <c r="F276" s="198">
        <v>0</v>
      </c>
      <c r="G276" s="161">
        <v>0</v>
      </c>
      <c r="H276" s="265">
        <v>12000</v>
      </c>
      <c r="I276" s="193">
        <v>0</v>
      </c>
      <c r="J276" s="161">
        <v>0</v>
      </c>
      <c r="K276" s="273"/>
      <c r="L276" s="198"/>
      <c r="M276" s="168"/>
    </row>
    <row r="277" spans="1:13" s="17" customFormat="1" ht="11.25">
      <c r="A277" s="36"/>
      <c r="B277" s="36"/>
      <c r="C277" s="31">
        <v>4301</v>
      </c>
      <c r="D277" s="32" t="s">
        <v>92</v>
      </c>
      <c r="E277" s="241">
        <v>20259</v>
      </c>
      <c r="F277" s="198">
        <v>17615.9</v>
      </c>
      <c r="G277" s="161">
        <v>86.95345278641592</v>
      </c>
      <c r="H277" s="265">
        <v>20259</v>
      </c>
      <c r="I277" s="193">
        <v>17615.9</v>
      </c>
      <c r="J277" s="161">
        <v>86.95345278641592</v>
      </c>
      <c r="K277" s="273"/>
      <c r="L277" s="198"/>
      <c r="M277" s="168"/>
    </row>
    <row r="278" spans="1:13" s="17" customFormat="1" ht="21">
      <c r="A278" s="302"/>
      <c r="B278" s="302"/>
      <c r="C278" s="348">
        <v>4701</v>
      </c>
      <c r="D278" s="349" t="s">
        <v>266</v>
      </c>
      <c r="E278" s="341">
        <v>10000</v>
      </c>
      <c r="F278" s="350">
        <v>1698.4</v>
      </c>
      <c r="G278" s="166">
        <v>16.984</v>
      </c>
      <c r="H278" s="269">
        <v>10000</v>
      </c>
      <c r="I278" s="202">
        <v>1698.4</v>
      </c>
      <c r="J278" s="166">
        <v>16.984</v>
      </c>
      <c r="K278" s="351"/>
      <c r="L278" s="350"/>
      <c r="M278" s="175"/>
    </row>
    <row r="279" spans="1:13" s="17" customFormat="1" ht="35.25" customHeight="1">
      <c r="A279" s="110"/>
      <c r="B279" s="110">
        <v>80101</v>
      </c>
      <c r="C279" s="110"/>
      <c r="D279" s="112" t="s">
        <v>264</v>
      </c>
      <c r="E279" s="243">
        <f>SUM(E280:E285)</f>
        <v>66612</v>
      </c>
      <c r="F279" s="196">
        <f>SUM(F280:F285)</f>
        <v>47601.689999999995</v>
      </c>
      <c r="G279" s="196">
        <f>F279*100/E279</f>
        <v>71.4611331291659</v>
      </c>
      <c r="H279" s="243">
        <f>E279</f>
        <v>66612</v>
      </c>
      <c r="I279" s="196">
        <f>F279</f>
        <v>47601.689999999995</v>
      </c>
      <c r="J279" s="196">
        <f>G279</f>
        <v>71.4611331291659</v>
      </c>
      <c r="K279" s="243"/>
      <c r="L279" s="196"/>
      <c r="M279" s="165"/>
    </row>
    <row r="280" spans="1:13" s="17" customFormat="1" ht="11.25">
      <c r="A280" s="117"/>
      <c r="B280" s="103"/>
      <c r="C280" s="329">
        <v>4111</v>
      </c>
      <c r="D280" s="74" t="s">
        <v>43</v>
      </c>
      <c r="E280" s="57">
        <v>2928</v>
      </c>
      <c r="F280" s="197">
        <v>1839.33</v>
      </c>
      <c r="G280" s="161">
        <v>62.818647540983605</v>
      </c>
      <c r="H280" s="265">
        <v>2928</v>
      </c>
      <c r="I280" s="193">
        <v>1839.33</v>
      </c>
      <c r="J280" s="161">
        <v>62.818647540983605</v>
      </c>
      <c r="K280" s="272"/>
      <c r="L280" s="197"/>
      <c r="M280" s="168"/>
    </row>
    <row r="281" spans="1:13" s="17" customFormat="1" ht="11.25">
      <c r="A281" s="36"/>
      <c r="B281" s="36"/>
      <c r="C281" s="19">
        <v>4121</v>
      </c>
      <c r="D281" s="21" t="s">
        <v>34</v>
      </c>
      <c r="E281" s="246">
        <v>417</v>
      </c>
      <c r="F281" s="327">
        <v>262.15</v>
      </c>
      <c r="G281" s="161">
        <v>62.86570743405275</v>
      </c>
      <c r="H281" s="265">
        <v>417</v>
      </c>
      <c r="I281" s="193">
        <v>262.15</v>
      </c>
      <c r="J281" s="161">
        <v>62.86570743405275</v>
      </c>
      <c r="K281" s="328"/>
      <c r="L281" s="327"/>
      <c r="M281" s="177"/>
    </row>
    <row r="282" spans="1:13" s="17" customFormat="1" ht="11.25">
      <c r="A282" s="36"/>
      <c r="B282" s="36"/>
      <c r="C282" s="31">
        <v>4171</v>
      </c>
      <c r="D282" s="32" t="s">
        <v>251</v>
      </c>
      <c r="E282" s="241">
        <v>17020</v>
      </c>
      <c r="F282" s="198">
        <v>12700</v>
      </c>
      <c r="G282" s="161">
        <v>74.61809635722679</v>
      </c>
      <c r="H282" s="265">
        <v>17020</v>
      </c>
      <c r="I282" s="193">
        <v>12700</v>
      </c>
      <c r="J282" s="161">
        <v>74.61809635722679</v>
      </c>
      <c r="K282" s="273"/>
      <c r="L282" s="198"/>
      <c r="M282" s="168"/>
    </row>
    <row r="283" spans="1:13" s="17" customFormat="1" ht="11.25">
      <c r="A283" s="36"/>
      <c r="B283" s="36"/>
      <c r="C283" s="19">
        <v>4211</v>
      </c>
      <c r="D283" s="21" t="s">
        <v>35</v>
      </c>
      <c r="E283" s="246">
        <v>27000</v>
      </c>
      <c r="F283" s="327">
        <v>22000.36</v>
      </c>
      <c r="G283" s="162">
        <v>81.48281481481482</v>
      </c>
      <c r="H283" s="264">
        <v>27000</v>
      </c>
      <c r="I283" s="192">
        <v>22000.36</v>
      </c>
      <c r="J283" s="162">
        <v>81.48281481481482</v>
      </c>
      <c r="K283" s="328"/>
      <c r="L283" s="327"/>
      <c r="M283" s="177"/>
    </row>
    <row r="284" spans="1:13" s="17" customFormat="1" ht="11.25">
      <c r="A284" s="36"/>
      <c r="B284" s="36"/>
      <c r="C284" s="36">
        <v>4301</v>
      </c>
      <c r="D284" s="294" t="s">
        <v>92</v>
      </c>
      <c r="E284" s="242">
        <v>18447</v>
      </c>
      <c r="F284" s="199">
        <v>10347.85</v>
      </c>
      <c r="G284" s="161">
        <v>56.095029002005745</v>
      </c>
      <c r="H284" s="265">
        <v>18447</v>
      </c>
      <c r="I284" s="193">
        <v>10347.85</v>
      </c>
      <c r="J284" s="161">
        <v>56.095029002005745</v>
      </c>
      <c r="K284" s="265"/>
      <c r="L284" s="193"/>
      <c r="M284" s="161"/>
    </row>
    <row r="285" spans="1:13" s="17" customFormat="1" ht="11.25">
      <c r="A285" s="36"/>
      <c r="B285" s="36"/>
      <c r="C285" s="36">
        <v>4431</v>
      </c>
      <c r="D285" s="294" t="s">
        <v>250</v>
      </c>
      <c r="E285" s="242">
        <v>800</v>
      </c>
      <c r="F285" s="199">
        <v>452</v>
      </c>
      <c r="G285" s="164">
        <v>56.5</v>
      </c>
      <c r="H285" s="263">
        <v>800</v>
      </c>
      <c r="I285" s="194">
        <v>452</v>
      </c>
      <c r="J285" s="164">
        <v>56.5</v>
      </c>
      <c r="K285" s="268"/>
      <c r="L285" s="199"/>
      <c r="M285" s="163"/>
    </row>
    <row r="286" spans="1:13" s="17" customFormat="1" ht="37.5" customHeight="1">
      <c r="A286" s="105"/>
      <c r="B286" s="105">
        <v>80101</v>
      </c>
      <c r="C286" s="105"/>
      <c r="D286" s="107" t="s">
        <v>265</v>
      </c>
      <c r="E286" s="240">
        <f>SUM(E287:E293)</f>
        <v>34043</v>
      </c>
      <c r="F286" s="108">
        <f>SUM(F287:F293)</f>
        <v>29880.08</v>
      </c>
      <c r="G286" s="108">
        <f>F286*100/E286</f>
        <v>87.77158299797316</v>
      </c>
      <c r="H286" s="240">
        <f>E286</f>
        <v>34043</v>
      </c>
      <c r="I286" s="108">
        <f>F286</f>
        <v>29880.08</v>
      </c>
      <c r="J286" s="108">
        <f>G286</f>
        <v>87.77158299797316</v>
      </c>
      <c r="K286" s="240"/>
      <c r="L286" s="108"/>
      <c r="M286" s="156"/>
    </row>
    <row r="287" spans="1:13" s="17" customFormat="1" ht="11.25">
      <c r="A287" s="117"/>
      <c r="B287" s="117"/>
      <c r="C287" s="39">
        <v>4111</v>
      </c>
      <c r="D287" s="116" t="s">
        <v>43</v>
      </c>
      <c r="E287" s="61">
        <v>510</v>
      </c>
      <c r="F287" s="325">
        <v>342.94</v>
      </c>
      <c r="G287" s="162">
        <v>67.24313725490197</v>
      </c>
      <c r="H287" s="264">
        <v>510</v>
      </c>
      <c r="I287" s="192">
        <v>342.94</v>
      </c>
      <c r="J287" s="162">
        <v>67.24313725490197</v>
      </c>
      <c r="K287" s="326"/>
      <c r="L287" s="325"/>
      <c r="M287" s="177"/>
    </row>
    <row r="288" spans="1:13" s="17" customFormat="1" ht="11.25">
      <c r="A288" s="36"/>
      <c r="B288" s="36"/>
      <c r="C288" s="19">
        <v>4121</v>
      </c>
      <c r="D288" s="21" t="s">
        <v>34</v>
      </c>
      <c r="E288" s="241">
        <v>74</v>
      </c>
      <c r="F288" s="198">
        <v>48.87</v>
      </c>
      <c r="G288" s="162">
        <v>66.04054054054055</v>
      </c>
      <c r="H288" s="264">
        <v>74</v>
      </c>
      <c r="I288" s="192">
        <v>48.87</v>
      </c>
      <c r="J288" s="162">
        <v>66.04054054054055</v>
      </c>
      <c r="K288" s="273"/>
      <c r="L288" s="198"/>
      <c r="M288" s="168"/>
    </row>
    <row r="289" spans="1:13" s="17" customFormat="1" ht="11.25">
      <c r="A289" s="36"/>
      <c r="B289" s="36"/>
      <c r="C289" s="31">
        <v>4171</v>
      </c>
      <c r="D289" s="32" t="s">
        <v>251</v>
      </c>
      <c r="E289" s="241">
        <v>3500</v>
      </c>
      <c r="F289" s="198">
        <v>2495</v>
      </c>
      <c r="G289" s="162">
        <v>71.28571428571429</v>
      </c>
      <c r="H289" s="264">
        <v>3500</v>
      </c>
      <c r="I289" s="192">
        <v>2495</v>
      </c>
      <c r="J289" s="162">
        <v>71.28571428571429</v>
      </c>
      <c r="K289" s="273"/>
      <c r="L289" s="198"/>
      <c r="M289" s="168"/>
    </row>
    <row r="290" spans="1:13" s="17" customFormat="1" ht="11.25">
      <c r="A290" s="46"/>
      <c r="B290" s="46"/>
      <c r="C290" s="41">
        <v>4211</v>
      </c>
      <c r="D290" s="42" t="s">
        <v>35</v>
      </c>
      <c r="E290" s="244">
        <v>6700</v>
      </c>
      <c r="F290" s="518">
        <v>6648.42</v>
      </c>
      <c r="G290" s="166">
        <v>99.23014925373134</v>
      </c>
      <c r="H290" s="269">
        <v>6700</v>
      </c>
      <c r="I290" s="202">
        <v>6648.42</v>
      </c>
      <c r="J290" s="166">
        <v>99.23014925373134</v>
      </c>
      <c r="K290" s="519"/>
      <c r="L290" s="518"/>
      <c r="M290" s="176"/>
    </row>
    <row r="291" spans="1:13" s="17" customFormat="1" ht="11.25">
      <c r="A291" s="36"/>
      <c r="B291" s="36"/>
      <c r="C291" s="19">
        <v>4301</v>
      </c>
      <c r="D291" s="21" t="s">
        <v>92</v>
      </c>
      <c r="E291" s="246">
        <v>4680</v>
      </c>
      <c r="F291" s="327">
        <v>4331.1</v>
      </c>
      <c r="G291" s="162">
        <v>92.54487179487181</v>
      </c>
      <c r="H291" s="264">
        <v>4680</v>
      </c>
      <c r="I291" s="192">
        <v>4331.1</v>
      </c>
      <c r="J291" s="162">
        <v>92.54487179487181</v>
      </c>
      <c r="K291" s="328"/>
      <c r="L291" s="327"/>
      <c r="M291" s="177"/>
    </row>
    <row r="292" spans="1:13" s="17" customFormat="1" ht="11.25">
      <c r="A292" s="36"/>
      <c r="B292" s="36"/>
      <c r="C292" s="31">
        <v>4431</v>
      </c>
      <c r="D292" s="32" t="s">
        <v>250</v>
      </c>
      <c r="E292" s="241">
        <v>512</v>
      </c>
      <c r="F292" s="198">
        <v>326.53</v>
      </c>
      <c r="G292" s="162">
        <v>63.77539062499999</v>
      </c>
      <c r="H292" s="264">
        <v>512</v>
      </c>
      <c r="I292" s="192">
        <v>326.53</v>
      </c>
      <c r="J292" s="162">
        <v>63.77539062499999</v>
      </c>
      <c r="K292" s="273"/>
      <c r="L292" s="198"/>
      <c r="M292" s="168"/>
    </row>
    <row r="293" spans="1:13" s="17" customFormat="1" ht="21">
      <c r="A293" s="46"/>
      <c r="B293" s="46"/>
      <c r="C293" s="41">
        <v>4701</v>
      </c>
      <c r="D293" s="42" t="s">
        <v>266</v>
      </c>
      <c r="E293" s="241">
        <v>18067</v>
      </c>
      <c r="F293" s="193">
        <v>15687.22</v>
      </c>
      <c r="G293" s="162">
        <v>86.82802900315492</v>
      </c>
      <c r="H293" s="264">
        <v>18067</v>
      </c>
      <c r="I293" s="192">
        <v>15687.22</v>
      </c>
      <c r="J293" s="162">
        <v>86.82802900315492</v>
      </c>
      <c r="K293" s="265"/>
      <c r="L293" s="193"/>
      <c r="M293" s="168"/>
    </row>
    <row r="294" spans="1:13" s="17" customFormat="1" ht="31.5">
      <c r="A294" s="290"/>
      <c r="B294" s="290">
        <v>80101</v>
      </c>
      <c r="C294" s="290"/>
      <c r="D294" s="289" t="s">
        <v>288</v>
      </c>
      <c r="E294" s="291">
        <f>SUM(E295:E301)</f>
        <v>88137</v>
      </c>
      <c r="F294" s="292">
        <f>SUM(F295:F301)</f>
        <v>0</v>
      </c>
      <c r="G294" s="292">
        <f>F294*100/E294</f>
        <v>0</v>
      </c>
      <c r="H294" s="291">
        <f>SUM(H295:H301)</f>
        <v>88137</v>
      </c>
      <c r="I294" s="292">
        <f>SUM(I295:I301)</f>
        <v>0</v>
      </c>
      <c r="J294" s="292">
        <f>I294*100/H294</f>
        <v>0</v>
      </c>
      <c r="K294" s="291"/>
      <c r="L294" s="292"/>
      <c r="M294" s="293"/>
    </row>
    <row r="295" spans="1:13" s="17" customFormat="1" ht="11.25">
      <c r="A295" s="33"/>
      <c r="B295" s="33"/>
      <c r="C295" s="31">
        <v>4111</v>
      </c>
      <c r="D295" s="32" t="s">
        <v>43</v>
      </c>
      <c r="E295" s="241">
        <v>936</v>
      </c>
      <c r="F295" s="193">
        <v>0</v>
      </c>
      <c r="G295" s="58">
        <f aca="true" t="shared" si="58" ref="G295:G301">F295*100/E295</f>
        <v>0</v>
      </c>
      <c r="H295" s="265">
        <f aca="true" t="shared" si="59" ref="H295:I301">E295</f>
        <v>936</v>
      </c>
      <c r="I295" s="193">
        <f t="shared" si="59"/>
        <v>0</v>
      </c>
      <c r="J295" s="315">
        <f>I295*100/H295</f>
        <v>0</v>
      </c>
      <c r="K295" s="265"/>
      <c r="L295" s="308"/>
      <c r="M295" s="161"/>
    </row>
    <row r="296" spans="1:13" s="17" customFormat="1" ht="11.25">
      <c r="A296" s="36"/>
      <c r="B296" s="36"/>
      <c r="C296" s="419">
        <v>4121</v>
      </c>
      <c r="D296" s="32" t="s">
        <v>34</v>
      </c>
      <c r="E296" s="420">
        <v>123</v>
      </c>
      <c r="F296" s="421">
        <v>0</v>
      </c>
      <c r="G296" s="58">
        <f t="shared" si="58"/>
        <v>0</v>
      </c>
      <c r="H296" s="422">
        <f t="shared" si="59"/>
        <v>123</v>
      </c>
      <c r="I296" s="193">
        <f t="shared" si="59"/>
        <v>0</v>
      </c>
      <c r="J296" s="315">
        <f aca="true" t="shared" si="60" ref="J296:J313">I296*100/H296</f>
        <v>0</v>
      </c>
      <c r="K296" s="422"/>
      <c r="L296" s="421"/>
      <c r="M296" s="161"/>
    </row>
    <row r="297" spans="1:13" s="17" customFormat="1" ht="11.25">
      <c r="A297" s="36"/>
      <c r="B297" s="36"/>
      <c r="C297" s="419">
        <v>4171</v>
      </c>
      <c r="D297" s="32" t="s">
        <v>251</v>
      </c>
      <c r="E297" s="420">
        <v>5000</v>
      </c>
      <c r="F297" s="421">
        <v>0</v>
      </c>
      <c r="G297" s="58">
        <f t="shared" si="58"/>
        <v>0</v>
      </c>
      <c r="H297" s="422">
        <f t="shared" si="59"/>
        <v>5000</v>
      </c>
      <c r="I297" s="193">
        <f t="shared" si="59"/>
        <v>0</v>
      </c>
      <c r="J297" s="315">
        <f t="shared" si="60"/>
        <v>0</v>
      </c>
      <c r="K297" s="422"/>
      <c r="L297" s="421"/>
      <c r="M297" s="161"/>
    </row>
    <row r="298" spans="1:13" s="17" customFormat="1" ht="11.25">
      <c r="A298" s="36"/>
      <c r="B298" s="36"/>
      <c r="C298" s="419">
        <v>4211</v>
      </c>
      <c r="D298" s="32" t="s">
        <v>35</v>
      </c>
      <c r="E298" s="420">
        <v>3000</v>
      </c>
      <c r="F298" s="421">
        <v>0</v>
      </c>
      <c r="G298" s="58">
        <f t="shared" si="58"/>
        <v>0</v>
      </c>
      <c r="H298" s="422">
        <f t="shared" si="59"/>
        <v>3000</v>
      </c>
      <c r="I298" s="193">
        <f t="shared" si="59"/>
        <v>0</v>
      </c>
      <c r="J298" s="315">
        <f t="shared" si="60"/>
        <v>0</v>
      </c>
      <c r="K298" s="422"/>
      <c r="L298" s="421"/>
      <c r="M298" s="161"/>
    </row>
    <row r="299" spans="1:13" s="17" customFormat="1" ht="11.25">
      <c r="A299" s="36"/>
      <c r="B299" s="418"/>
      <c r="C299" s="31">
        <v>4301</v>
      </c>
      <c r="D299" s="32" t="s">
        <v>92</v>
      </c>
      <c r="E299" s="241">
        <v>2000</v>
      </c>
      <c r="F299" s="193">
        <v>0</v>
      </c>
      <c r="G299" s="58">
        <f t="shared" si="58"/>
        <v>0</v>
      </c>
      <c r="H299" s="265">
        <f t="shared" si="59"/>
        <v>2000</v>
      </c>
      <c r="I299" s="193">
        <f t="shared" si="59"/>
        <v>0</v>
      </c>
      <c r="J299" s="161">
        <f t="shared" si="60"/>
        <v>0</v>
      </c>
      <c r="K299" s="265"/>
      <c r="L299" s="193"/>
      <c r="M299" s="161"/>
    </row>
    <row r="300" spans="1:13" s="17" customFormat="1" ht="11.25">
      <c r="A300" s="36"/>
      <c r="B300" s="418"/>
      <c r="C300" s="31">
        <v>4431</v>
      </c>
      <c r="D300" s="32" t="s">
        <v>250</v>
      </c>
      <c r="E300" s="241">
        <v>1000</v>
      </c>
      <c r="F300" s="193">
        <v>0</v>
      </c>
      <c r="G300" s="58">
        <f t="shared" si="58"/>
        <v>0</v>
      </c>
      <c r="H300" s="265">
        <f t="shared" si="59"/>
        <v>1000</v>
      </c>
      <c r="I300" s="193">
        <f t="shared" si="59"/>
        <v>0</v>
      </c>
      <c r="J300" s="161">
        <f t="shared" si="60"/>
        <v>0</v>
      </c>
      <c r="K300" s="265"/>
      <c r="L300" s="193"/>
      <c r="M300" s="161"/>
    </row>
    <row r="301" spans="1:13" s="17" customFormat="1" ht="21">
      <c r="A301" s="46"/>
      <c r="B301" s="46"/>
      <c r="C301" s="41">
        <v>4701</v>
      </c>
      <c r="D301" s="42" t="s">
        <v>170</v>
      </c>
      <c r="E301" s="244">
        <v>76078</v>
      </c>
      <c r="F301" s="190">
        <v>0</v>
      </c>
      <c r="G301" s="60">
        <f t="shared" si="58"/>
        <v>0</v>
      </c>
      <c r="H301" s="266">
        <f t="shared" si="59"/>
        <v>76078</v>
      </c>
      <c r="I301" s="190">
        <f t="shared" si="59"/>
        <v>0</v>
      </c>
      <c r="J301" s="520">
        <f t="shared" si="60"/>
        <v>0</v>
      </c>
      <c r="K301" s="266"/>
      <c r="L301" s="190"/>
      <c r="M301" s="160"/>
    </row>
    <row r="302" spans="1:13" s="17" customFormat="1" ht="24.75" customHeight="1">
      <c r="A302" s="290"/>
      <c r="B302" s="290">
        <v>80101</v>
      </c>
      <c r="C302" s="290"/>
      <c r="D302" s="289" t="s">
        <v>289</v>
      </c>
      <c r="E302" s="291">
        <f>SUM(E303:E313)</f>
        <v>95097</v>
      </c>
      <c r="F302" s="292">
        <f>SUM(F303:F313)</f>
        <v>92174.7</v>
      </c>
      <c r="G302" s="292">
        <f>F302*100/E302</f>
        <v>96.92703239849837</v>
      </c>
      <c r="H302" s="291">
        <f>SUM(H303:H313)</f>
        <v>95097</v>
      </c>
      <c r="I302" s="292">
        <f>SUM(I303:I313)</f>
        <v>92174.7</v>
      </c>
      <c r="J302" s="292">
        <f t="shared" si="60"/>
        <v>96.92703239849837</v>
      </c>
      <c r="K302" s="291"/>
      <c r="L302" s="292"/>
      <c r="M302" s="293"/>
    </row>
    <row r="303" spans="1:13" s="17" customFormat="1" ht="11.25">
      <c r="A303" s="33"/>
      <c r="B303" s="33"/>
      <c r="C303" s="31">
        <v>4017</v>
      </c>
      <c r="D303" s="32" t="s">
        <v>41</v>
      </c>
      <c r="E303" s="241">
        <v>1706</v>
      </c>
      <c r="F303" s="193">
        <v>1706</v>
      </c>
      <c r="G303" s="58">
        <f aca="true" t="shared" si="61" ref="G303:G313">F303*100/E303</f>
        <v>100</v>
      </c>
      <c r="H303" s="265">
        <f aca="true" t="shared" si="62" ref="H303:I316">E303</f>
        <v>1706</v>
      </c>
      <c r="I303" s="193">
        <f t="shared" si="62"/>
        <v>1706</v>
      </c>
      <c r="J303" s="315">
        <f t="shared" si="60"/>
        <v>100</v>
      </c>
      <c r="K303" s="265"/>
      <c r="L303" s="308"/>
      <c r="M303" s="161"/>
    </row>
    <row r="304" spans="1:13" s="17" customFormat="1" ht="11.25">
      <c r="A304" s="36"/>
      <c r="B304" s="418"/>
      <c r="C304" s="419">
        <v>4019</v>
      </c>
      <c r="D304" s="32" t="s">
        <v>41</v>
      </c>
      <c r="E304" s="420">
        <v>8290</v>
      </c>
      <c r="F304" s="421">
        <v>6788.02</v>
      </c>
      <c r="G304" s="58">
        <f t="shared" si="61"/>
        <v>81.88202653799759</v>
      </c>
      <c r="H304" s="422">
        <f t="shared" si="62"/>
        <v>8290</v>
      </c>
      <c r="I304" s="193">
        <f t="shared" si="62"/>
        <v>6788.02</v>
      </c>
      <c r="J304" s="315">
        <f t="shared" si="60"/>
        <v>81.88202653799759</v>
      </c>
      <c r="K304" s="265"/>
      <c r="L304" s="427"/>
      <c r="M304" s="161"/>
    </row>
    <row r="305" spans="1:13" s="17" customFormat="1" ht="11.25">
      <c r="A305" s="36"/>
      <c r="B305" s="418"/>
      <c r="C305" s="419">
        <v>4117</v>
      </c>
      <c r="D305" s="74" t="s">
        <v>43</v>
      </c>
      <c r="E305" s="420">
        <v>292</v>
      </c>
      <c r="F305" s="421">
        <v>292</v>
      </c>
      <c r="G305" s="58">
        <f t="shared" si="61"/>
        <v>100</v>
      </c>
      <c r="H305" s="422">
        <f t="shared" si="62"/>
        <v>292</v>
      </c>
      <c r="I305" s="193">
        <f t="shared" si="62"/>
        <v>292</v>
      </c>
      <c r="J305" s="315">
        <f t="shared" si="60"/>
        <v>100</v>
      </c>
      <c r="K305" s="265"/>
      <c r="L305" s="427"/>
      <c r="M305" s="161"/>
    </row>
    <row r="306" spans="1:13" s="17" customFormat="1" ht="11.25">
      <c r="A306" s="36"/>
      <c r="B306" s="418"/>
      <c r="C306" s="419">
        <v>4119</v>
      </c>
      <c r="D306" s="74" t="s">
        <v>43</v>
      </c>
      <c r="E306" s="420">
        <v>1421</v>
      </c>
      <c r="F306" s="421">
        <v>1161.26</v>
      </c>
      <c r="G306" s="58">
        <f t="shared" si="61"/>
        <v>81.7213230119634</v>
      </c>
      <c r="H306" s="422">
        <f t="shared" si="62"/>
        <v>1421</v>
      </c>
      <c r="I306" s="193">
        <f t="shared" si="62"/>
        <v>1161.26</v>
      </c>
      <c r="J306" s="315">
        <f t="shared" si="60"/>
        <v>81.7213230119634</v>
      </c>
      <c r="K306" s="265"/>
      <c r="L306" s="427"/>
      <c r="M306" s="161"/>
    </row>
    <row r="307" spans="1:13" s="17" customFormat="1" ht="11.25">
      <c r="A307" s="36"/>
      <c r="B307" s="418"/>
      <c r="C307" s="419">
        <v>4127</v>
      </c>
      <c r="D307" s="21" t="s">
        <v>34</v>
      </c>
      <c r="E307" s="420">
        <v>42</v>
      </c>
      <c r="F307" s="421">
        <v>42</v>
      </c>
      <c r="G307" s="58">
        <f t="shared" si="61"/>
        <v>100</v>
      </c>
      <c r="H307" s="422">
        <f t="shared" si="62"/>
        <v>42</v>
      </c>
      <c r="I307" s="193">
        <f t="shared" si="62"/>
        <v>42</v>
      </c>
      <c r="J307" s="315">
        <f t="shared" si="60"/>
        <v>100</v>
      </c>
      <c r="K307" s="265"/>
      <c r="L307" s="427"/>
      <c r="M307" s="161"/>
    </row>
    <row r="308" spans="1:13" s="17" customFormat="1" ht="11.25">
      <c r="A308" s="36"/>
      <c r="B308" s="418"/>
      <c r="C308" s="419">
        <v>4129</v>
      </c>
      <c r="D308" s="21" t="s">
        <v>34</v>
      </c>
      <c r="E308" s="420">
        <v>201</v>
      </c>
      <c r="F308" s="421">
        <v>60.42</v>
      </c>
      <c r="G308" s="58">
        <f t="shared" si="61"/>
        <v>30.059701492537314</v>
      </c>
      <c r="H308" s="422">
        <f t="shared" si="62"/>
        <v>201</v>
      </c>
      <c r="I308" s="193">
        <f t="shared" si="62"/>
        <v>60.42</v>
      </c>
      <c r="J308" s="315">
        <f t="shared" si="60"/>
        <v>30.059701492537314</v>
      </c>
      <c r="K308" s="422"/>
      <c r="L308" s="421"/>
      <c r="M308" s="161"/>
    </row>
    <row r="309" spans="1:13" s="17" customFormat="1" ht="11.25">
      <c r="A309" s="36"/>
      <c r="B309" s="418"/>
      <c r="C309" s="423">
        <v>4217</v>
      </c>
      <c r="D309" s="37" t="s">
        <v>35</v>
      </c>
      <c r="E309" s="424">
        <v>812</v>
      </c>
      <c r="F309" s="425">
        <v>812</v>
      </c>
      <c r="G309" s="26">
        <f t="shared" si="61"/>
        <v>100</v>
      </c>
      <c r="H309" s="426">
        <f t="shared" si="62"/>
        <v>812</v>
      </c>
      <c r="I309" s="193">
        <f t="shared" si="62"/>
        <v>812</v>
      </c>
      <c r="J309" s="417">
        <f t="shared" si="60"/>
        <v>100</v>
      </c>
      <c r="K309" s="426"/>
      <c r="L309" s="425"/>
      <c r="M309" s="164"/>
    </row>
    <row r="310" spans="1:13" s="17" customFormat="1" ht="11.25">
      <c r="A310" s="36"/>
      <c r="B310" s="418"/>
      <c r="C310" s="31">
        <v>4219</v>
      </c>
      <c r="D310" s="37" t="s">
        <v>35</v>
      </c>
      <c r="E310" s="241">
        <v>1188</v>
      </c>
      <c r="F310" s="193">
        <v>1188</v>
      </c>
      <c r="G310" s="58">
        <f t="shared" si="61"/>
        <v>100</v>
      </c>
      <c r="H310" s="265">
        <f t="shared" si="62"/>
        <v>1188</v>
      </c>
      <c r="I310" s="193">
        <f t="shared" si="62"/>
        <v>1188</v>
      </c>
      <c r="J310" s="161">
        <f t="shared" si="60"/>
        <v>100</v>
      </c>
      <c r="K310" s="265"/>
      <c r="L310" s="193"/>
      <c r="M310" s="161"/>
    </row>
    <row r="311" spans="1:13" s="17" customFormat="1" ht="11.25">
      <c r="A311" s="36"/>
      <c r="B311" s="418"/>
      <c r="C311" s="19">
        <v>4247</v>
      </c>
      <c r="D311" s="525" t="s">
        <v>298</v>
      </c>
      <c r="E311" s="246">
        <v>79105</v>
      </c>
      <c r="F311" s="192">
        <v>78937</v>
      </c>
      <c r="G311" s="314">
        <f t="shared" si="61"/>
        <v>99.78762404399217</v>
      </c>
      <c r="H311" s="264">
        <f t="shared" si="62"/>
        <v>79105</v>
      </c>
      <c r="I311" s="192">
        <f t="shared" si="62"/>
        <v>78937</v>
      </c>
      <c r="J311" s="162">
        <f t="shared" si="60"/>
        <v>99.78762404399217</v>
      </c>
      <c r="K311" s="264"/>
      <c r="L311" s="192"/>
      <c r="M311" s="162"/>
    </row>
    <row r="312" spans="1:13" s="17" customFormat="1" ht="11.25">
      <c r="A312" s="36"/>
      <c r="B312" s="418"/>
      <c r="C312" s="19">
        <v>4307</v>
      </c>
      <c r="D312" s="21" t="s">
        <v>92</v>
      </c>
      <c r="E312" s="246">
        <v>1188</v>
      </c>
      <c r="F312" s="192">
        <v>1003.86</v>
      </c>
      <c r="G312" s="314">
        <f t="shared" si="61"/>
        <v>84.5</v>
      </c>
      <c r="H312" s="264">
        <f t="shared" si="62"/>
        <v>1188</v>
      </c>
      <c r="I312" s="192">
        <f t="shared" si="62"/>
        <v>1003.86</v>
      </c>
      <c r="J312" s="162">
        <f t="shared" si="60"/>
        <v>84.5</v>
      </c>
      <c r="K312" s="264"/>
      <c r="L312" s="192"/>
      <c r="M312" s="162"/>
    </row>
    <row r="313" spans="1:13" s="17" customFormat="1" ht="11.25">
      <c r="A313" s="36"/>
      <c r="B313" s="418"/>
      <c r="C313" s="19">
        <v>4309</v>
      </c>
      <c r="D313" s="32" t="s">
        <v>92</v>
      </c>
      <c r="E313" s="246">
        <v>852</v>
      </c>
      <c r="F313" s="192">
        <v>184.14</v>
      </c>
      <c r="G313" s="314">
        <f t="shared" si="61"/>
        <v>21.612676056338028</v>
      </c>
      <c r="H313" s="264">
        <f t="shared" si="62"/>
        <v>852</v>
      </c>
      <c r="I313" s="192">
        <f t="shared" si="62"/>
        <v>184.14</v>
      </c>
      <c r="J313" s="162">
        <f t="shared" si="60"/>
        <v>21.612676056338028</v>
      </c>
      <c r="K313" s="264"/>
      <c r="L313" s="192"/>
      <c r="M313" s="162"/>
    </row>
    <row r="314" spans="1:13" s="17" customFormat="1" ht="24" customHeight="1">
      <c r="A314" s="105"/>
      <c r="B314" s="105">
        <v>80101</v>
      </c>
      <c r="C314" s="105"/>
      <c r="D314" s="107" t="s">
        <v>290</v>
      </c>
      <c r="E314" s="240">
        <f>SUM(E315:E319)</f>
        <v>142495</v>
      </c>
      <c r="F314" s="108">
        <f>SUM(F315:F319)</f>
        <v>0</v>
      </c>
      <c r="G314" s="108">
        <f aca="true" t="shared" si="63" ref="G314:G323">F314*100/E314</f>
        <v>0</v>
      </c>
      <c r="H314" s="240">
        <f t="shared" si="62"/>
        <v>142495</v>
      </c>
      <c r="I314" s="108">
        <f t="shared" si="62"/>
        <v>0</v>
      </c>
      <c r="J314" s="108">
        <f>G314</f>
        <v>0</v>
      </c>
      <c r="K314" s="240"/>
      <c r="L314" s="108"/>
      <c r="M314" s="156"/>
    </row>
    <row r="315" spans="1:13" s="17" customFormat="1" ht="11.25">
      <c r="A315" s="117"/>
      <c r="B315" s="117"/>
      <c r="C315" s="39">
        <v>4111</v>
      </c>
      <c r="D315" s="116" t="s">
        <v>43</v>
      </c>
      <c r="E315" s="61">
        <v>1871</v>
      </c>
      <c r="F315" s="325">
        <v>0</v>
      </c>
      <c r="G315" s="162">
        <f t="shared" si="63"/>
        <v>0</v>
      </c>
      <c r="H315" s="264">
        <f t="shared" si="62"/>
        <v>1871</v>
      </c>
      <c r="I315" s="192">
        <f t="shared" si="62"/>
        <v>0</v>
      </c>
      <c r="J315" s="162">
        <f>I315*100/H315</f>
        <v>0</v>
      </c>
      <c r="K315" s="326"/>
      <c r="L315" s="325"/>
      <c r="M315" s="177"/>
    </row>
    <row r="316" spans="1:13" s="17" customFormat="1" ht="11.25">
      <c r="A316" s="36"/>
      <c r="B316" s="36"/>
      <c r="C316" s="19">
        <v>4121</v>
      </c>
      <c r="D316" s="21" t="s">
        <v>34</v>
      </c>
      <c r="E316" s="241">
        <v>245</v>
      </c>
      <c r="F316" s="325">
        <v>0</v>
      </c>
      <c r="G316" s="162">
        <f t="shared" si="63"/>
        <v>0</v>
      </c>
      <c r="H316" s="264">
        <f t="shared" si="62"/>
        <v>245</v>
      </c>
      <c r="I316" s="192">
        <f>F316</f>
        <v>0</v>
      </c>
      <c r="J316" s="162">
        <f>I316*100/H316</f>
        <v>0</v>
      </c>
      <c r="K316" s="273"/>
      <c r="L316" s="198"/>
      <c r="M316" s="168"/>
    </row>
    <row r="317" spans="1:13" s="17" customFormat="1" ht="11.25">
      <c r="A317" s="36"/>
      <c r="B317" s="36"/>
      <c r="C317" s="31">
        <v>4171</v>
      </c>
      <c r="D317" s="32" t="s">
        <v>251</v>
      </c>
      <c r="E317" s="241">
        <v>10000</v>
      </c>
      <c r="F317" s="325">
        <v>0</v>
      </c>
      <c r="G317" s="162">
        <f t="shared" si="63"/>
        <v>0</v>
      </c>
      <c r="H317" s="264">
        <f aca="true" t="shared" si="64" ref="H317:J323">E317</f>
        <v>10000</v>
      </c>
      <c r="I317" s="192">
        <f t="shared" si="64"/>
        <v>0</v>
      </c>
      <c r="J317" s="162">
        <f>I317*100/H317</f>
        <v>0</v>
      </c>
      <c r="K317" s="273"/>
      <c r="L317" s="198"/>
      <c r="M317" s="168"/>
    </row>
    <row r="318" spans="1:13" s="17" customFormat="1" ht="11.25">
      <c r="A318" s="36"/>
      <c r="B318" s="36"/>
      <c r="C318" s="31">
        <v>4211</v>
      </c>
      <c r="D318" s="32" t="s">
        <v>35</v>
      </c>
      <c r="E318" s="241">
        <v>4781</v>
      </c>
      <c r="F318" s="325">
        <v>0</v>
      </c>
      <c r="G318" s="162">
        <f t="shared" si="63"/>
        <v>0</v>
      </c>
      <c r="H318" s="264">
        <f t="shared" si="64"/>
        <v>4781</v>
      </c>
      <c r="I318" s="192">
        <f t="shared" si="64"/>
        <v>0</v>
      </c>
      <c r="J318" s="162">
        <f>I318*100/H318</f>
        <v>0</v>
      </c>
      <c r="K318" s="273"/>
      <c r="L318" s="198"/>
      <c r="M318" s="168"/>
    </row>
    <row r="319" spans="1:13" s="17" customFormat="1" ht="21">
      <c r="A319" s="46"/>
      <c r="B319" s="46"/>
      <c r="C319" s="41">
        <v>4701</v>
      </c>
      <c r="D319" s="42" t="s">
        <v>266</v>
      </c>
      <c r="E319" s="244">
        <v>125598</v>
      </c>
      <c r="F319" s="350">
        <v>0</v>
      </c>
      <c r="G319" s="166">
        <f t="shared" si="63"/>
        <v>0</v>
      </c>
      <c r="H319" s="269">
        <f t="shared" si="64"/>
        <v>125598</v>
      </c>
      <c r="I319" s="202">
        <f t="shared" si="64"/>
        <v>0</v>
      </c>
      <c r="J319" s="166">
        <f>I319*100/H319</f>
        <v>0</v>
      </c>
      <c r="K319" s="266"/>
      <c r="L319" s="190"/>
      <c r="M319" s="176"/>
    </row>
    <row r="320" spans="1:13" s="17" customFormat="1" ht="24" customHeight="1">
      <c r="A320" s="108"/>
      <c r="B320" s="105">
        <v>80101</v>
      </c>
      <c r="C320" s="105"/>
      <c r="D320" s="309" t="s">
        <v>291</v>
      </c>
      <c r="E320" s="240">
        <f>SUM(E321:E324)</f>
        <v>9500</v>
      </c>
      <c r="F320" s="108">
        <f>SUM(F321:F324)</f>
        <v>4526</v>
      </c>
      <c r="G320" s="108">
        <f t="shared" si="63"/>
        <v>47.642105263157895</v>
      </c>
      <c r="H320" s="240">
        <f t="shared" si="64"/>
        <v>9500</v>
      </c>
      <c r="I320" s="108">
        <f t="shared" si="64"/>
        <v>4526</v>
      </c>
      <c r="J320" s="108">
        <f t="shared" si="64"/>
        <v>47.642105263157895</v>
      </c>
      <c r="K320" s="240"/>
      <c r="L320" s="240"/>
      <c r="M320" s="240"/>
    </row>
    <row r="321" spans="1:13" s="17" customFormat="1" ht="11.25">
      <c r="A321" s="103"/>
      <c r="B321" s="103"/>
      <c r="C321" s="38">
        <v>4111</v>
      </c>
      <c r="D321" s="74" t="s">
        <v>43</v>
      </c>
      <c r="E321" s="57">
        <v>78</v>
      </c>
      <c r="F321" s="197">
        <v>0</v>
      </c>
      <c r="G321" s="161">
        <f t="shared" si="63"/>
        <v>0</v>
      </c>
      <c r="H321" s="265">
        <f t="shared" si="64"/>
        <v>78</v>
      </c>
      <c r="I321" s="193">
        <f t="shared" si="64"/>
        <v>0</v>
      </c>
      <c r="J321" s="161">
        <f t="shared" si="64"/>
        <v>0</v>
      </c>
      <c r="K321" s="272"/>
      <c r="L321" s="197"/>
      <c r="M321" s="168"/>
    </row>
    <row r="322" spans="1:13" s="17" customFormat="1" ht="11.25">
      <c r="A322" s="46"/>
      <c r="B322" s="46"/>
      <c r="C322" s="41">
        <v>4121</v>
      </c>
      <c r="D322" s="42" t="s">
        <v>34</v>
      </c>
      <c r="E322" s="244">
        <v>10</v>
      </c>
      <c r="F322" s="518">
        <v>0</v>
      </c>
      <c r="G322" s="160">
        <f t="shared" si="63"/>
        <v>0</v>
      </c>
      <c r="H322" s="266">
        <f t="shared" si="64"/>
        <v>10</v>
      </c>
      <c r="I322" s="190">
        <f t="shared" si="64"/>
        <v>0</v>
      </c>
      <c r="J322" s="160">
        <f t="shared" si="64"/>
        <v>0</v>
      </c>
      <c r="K322" s="519"/>
      <c r="L322" s="518"/>
      <c r="M322" s="176"/>
    </row>
    <row r="323" spans="1:13" s="17" customFormat="1" ht="11.25">
      <c r="A323" s="36"/>
      <c r="B323" s="36"/>
      <c r="C323" s="19">
        <v>4171</v>
      </c>
      <c r="D323" s="21" t="s">
        <v>251</v>
      </c>
      <c r="E323" s="246">
        <v>412</v>
      </c>
      <c r="F323" s="327">
        <v>0</v>
      </c>
      <c r="G323" s="162">
        <f t="shared" si="63"/>
        <v>0</v>
      </c>
      <c r="H323" s="264">
        <f t="shared" si="64"/>
        <v>412</v>
      </c>
      <c r="I323" s="192">
        <f t="shared" si="64"/>
        <v>0</v>
      </c>
      <c r="J323" s="162">
        <f t="shared" si="64"/>
        <v>0</v>
      </c>
      <c r="K323" s="328"/>
      <c r="L323" s="327"/>
      <c r="M323" s="177"/>
    </row>
    <row r="324" spans="1:13" s="17" customFormat="1" ht="21">
      <c r="A324" s="46"/>
      <c r="B324" s="46"/>
      <c r="C324" s="41">
        <v>4701</v>
      </c>
      <c r="D324" s="42" t="s">
        <v>266</v>
      </c>
      <c r="E324" s="244">
        <v>9000</v>
      </c>
      <c r="F324" s="521">
        <v>4526</v>
      </c>
      <c r="G324" s="160">
        <f>F324*100/E324</f>
        <v>50.28888888888889</v>
      </c>
      <c r="H324" s="266">
        <f>E324</f>
        <v>9000</v>
      </c>
      <c r="I324" s="190">
        <f>F324</f>
        <v>4526</v>
      </c>
      <c r="J324" s="160">
        <f aca="true" t="shared" si="65" ref="J324:J347">I324*100/H324</f>
        <v>50.28888888888889</v>
      </c>
      <c r="K324" s="266"/>
      <c r="L324" s="190"/>
      <c r="M324" s="176"/>
    </row>
    <row r="325" spans="1:13" s="17" customFormat="1" ht="24.75" customHeight="1">
      <c r="A325" s="488"/>
      <c r="B325" s="489">
        <v>80103</v>
      </c>
      <c r="C325" s="121"/>
      <c r="D325" s="78" t="s">
        <v>121</v>
      </c>
      <c r="E325" s="248">
        <f>SUM(E326:E343)</f>
        <v>2800277</v>
      </c>
      <c r="F325" s="195">
        <f>SUM(F326:F343)</f>
        <v>2744060.9</v>
      </c>
      <c r="G325" s="141">
        <f>F325*100/E325</f>
        <v>97.99248074386927</v>
      </c>
      <c r="H325" s="248">
        <f>SUM(H326:H333,H334:H343)</f>
        <v>2800277</v>
      </c>
      <c r="I325" s="195">
        <f>SUM(I327:I333,I334:I343)</f>
        <v>2744060.9</v>
      </c>
      <c r="J325" s="141">
        <f t="shared" si="65"/>
        <v>97.99248074386927</v>
      </c>
      <c r="K325" s="248"/>
      <c r="L325" s="195"/>
      <c r="M325" s="141"/>
    </row>
    <row r="326" spans="1:13" s="17" customFormat="1" ht="42.75" customHeight="1">
      <c r="A326" s="36"/>
      <c r="B326" s="36"/>
      <c r="C326" s="19">
        <v>2310</v>
      </c>
      <c r="D326" s="116" t="s">
        <v>272</v>
      </c>
      <c r="E326" s="246">
        <v>4000</v>
      </c>
      <c r="F326" s="192">
        <v>0</v>
      </c>
      <c r="G326" s="162">
        <v>0</v>
      </c>
      <c r="H326" s="264">
        <f>E326</f>
        <v>4000</v>
      </c>
      <c r="I326" s="192">
        <f>F326</f>
        <v>0</v>
      </c>
      <c r="J326" s="162">
        <f t="shared" si="65"/>
        <v>0</v>
      </c>
      <c r="K326" s="264"/>
      <c r="L326" s="192"/>
      <c r="M326" s="177"/>
    </row>
    <row r="327" spans="1:13" s="17" customFormat="1" ht="26.25" customHeight="1">
      <c r="A327" s="36"/>
      <c r="B327" s="36"/>
      <c r="C327" s="19">
        <v>2540</v>
      </c>
      <c r="D327" s="116" t="s">
        <v>100</v>
      </c>
      <c r="E327" s="246">
        <v>280000</v>
      </c>
      <c r="F327" s="192">
        <v>278833.56</v>
      </c>
      <c r="G327" s="162">
        <f aca="true" t="shared" si="66" ref="G327:G347">F327*100/E327</f>
        <v>99.58341428571428</v>
      </c>
      <c r="H327" s="264">
        <f>E327</f>
        <v>280000</v>
      </c>
      <c r="I327" s="192">
        <f>F327</f>
        <v>278833.56</v>
      </c>
      <c r="J327" s="162">
        <f t="shared" si="65"/>
        <v>99.58341428571428</v>
      </c>
      <c r="K327" s="264"/>
      <c r="L327" s="192"/>
      <c r="M327" s="177"/>
    </row>
    <row r="328" spans="1:13" s="17" customFormat="1" ht="11.25">
      <c r="A328" s="36"/>
      <c r="B328" s="36"/>
      <c r="C328" s="31">
        <v>3020</v>
      </c>
      <c r="D328" s="32" t="s">
        <v>112</v>
      </c>
      <c r="E328" s="241">
        <v>93000</v>
      </c>
      <c r="F328" s="193">
        <v>82609.47</v>
      </c>
      <c r="G328" s="161">
        <f t="shared" si="66"/>
        <v>88.82738709677419</v>
      </c>
      <c r="H328" s="265">
        <f aca="true" t="shared" si="67" ref="H328:H343">E328</f>
        <v>93000</v>
      </c>
      <c r="I328" s="193">
        <f aca="true" t="shared" si="68" ref="I328:I343">F328</f>
        <v>82609.47</v>
      </c>
      <c r="J328" s="161">
        <f t="shared" si="65"/>
        <v>88.82738709677419</v>
      </c>
      <c r="K328" s="265"/>
      <c r="L328" s="193"/>
      <c r="M328" s="168"/>
    </row>
    <row r="329" spans="1:13" s="17" customFormat="1" ht="11.25">
      <c r="A329" s="36"/>
      <c r="B329" s="36"/>
      <c r="C329" s="31">
        <v>4010</v>
      </c>
      <c r="D329" s="32" t="s">
        <v>41</v>
      </c>
      <c r="E329" s="241">
        <v>1689536</v>
      </c>
      <c r="F329" s="193">
        <v>1678741.29</v>
      </c>
      <c r="G329" s="161">
        <f t="shared" si="66"/>
        <v>99.36108434505095</v>
      </c>
      <c r="H329" s="265">
        <f t="shared" si="67"/>
        <v>1689536</v>
      </c>
      <c r="I329" s="193">
        <f t="shared" si="68"/>
        <v>1678741.29</v>
      </c>
      <c r="J329" s="161">
        <f t="shared" si="65"/>
        <v>99.36108434505095</v>
      </c>
      <c r="K329" s="265"/>
      <c r="L329" s="193"/>
      <c r="M329" s="168"/>
    </row>
    <row r="330" spans="1:13" s="17" customFormat="1" ht="11.25">
      <c r="A330" s="36"/>
      <c r="B330" s="36"/>
      <c r="C330" s="31">
        <v>4040</v>
      </c>
      <c r="D330" s="32" t="s">
        <v>42</v>
      </c>
      <c r="E330" s="241">
        <v>122464</v>
      </c>
      <c r="F330" s="193">
        <v>122461.6</v>
      </c>
      <c r="G330" s="161">
        <f t="shared" si="66"/>
        <v>99.99804024039717</v>
      </c>
      <c r="H330" s="265">
        <f t="shared" si="67"/>
        <v>122464</v>
      </c>
      <c r="I330" s="193">
        <f t="shared" si="68"/>
        <v>122461.6</v>
      </c>
      <c r="J330" s="161">
        <f t="shared" si="65"/>
        <v>99.99804024039717</v>
      </c>
      <c r="K330" s="265"/>
      <c r="L330" s="193"/>
      <c r="M330" s="168"/>
    </row>
    <row r="331" spans="1:13" s="17" customFormat="1" ht="11.25">
      <c r="A331" s="36"/>
      <c r="B331" s="36"/>
      <c r="C331" s="31">
        <v>4110</v>
      </c>
      <c r="D331" s="32" t="s">
        <v>43</v>
      </c>
      <c r="E331" s="241">
        <v>315000</v>
      </c>
      <c r="F331" s="193">
        <v>313856.94</v>
      </c>
      <c r="G331" s="161">
        <f t="shared" si="66"/>
        <v>99.63712380952381</v>
      </c>
      <c r="H331" s="265">
        <f t="shared" si="67"/>
        <v>315000</v>
      </c>
      <c r="I331" s="193">
        <f t="shared" si="68"/>
        <v>313856.94</v>
      </c>
      <c r="J331" s="161">
        <f t="shared" si="65"/>
        <v>99.63712380952381</v>
      </c>
      <c r="K331" s="265"/>
      <c r="L331" s="193"/>
      <c r="M331" s="168"/>
    </row>
    <row r="332" spans="1:13" s="17" customFormat="1" ht="11.25">
      <c r="A332" s="36"/>
      <c r="B332" s="36"/>
      <c r="C332" s="31">
        <v>4120</v>
      </c>
      <c r="D332" s="32" t="s">
        <v>34</v>
      </c>
      <c r="E332" s="241">
        <v>44950</v>
      </c>
      <c r="F332" s="193">
        <v>32406.78</v>
      </c>
      <c r="G332" s="161">
        <f t="shared" si="66"/>
        <v>72.09517241379311</v>
      </c>
      <c r="H332" s="265">
        <f t="shared" si="67"/>
        <v>44950</v>
      </c>
      <c r="I332" s="193">
        <f t="shared" si="68"/>
        <v>32406.78</v>
      </c>
      <c r="J332" s="161">
        <f t="shared" si="65"/>
        <v>72.09517241379311</v>
      </c>
      <c r="K332" s="265"/>
      <c r="L332" s="193"/>
      <c r="M332" s="168"/>
    </row>
    <row r="333" spans="1:13" s="17" customFormat="1" ht="11.25">
      <c r="A333" s="36"/>
      <c r="B333" s="36"/>
      <c r="C333" s="31">
        <v>4170</v>
      </c>
      <c r="D333" s="32" t="s">
        <v>114</v>
      </c>
      <c r="E333" s="241">
        <v>2000</v>
      </c>
      <c r="F333" s="193">
        <v>1977.5</v>
      </c>
      <c r="G333" s="161">
        <f t="shared" si="66"/>
        <v>98.875</v>
      </c>
      <c r="H333" s="265">
        <f t="shared" si="67"/>
        <v>2000</v>
      </c>
      <c r="I333" s="193">
        <f t="shared" si="68"/>
        <v>1977.5</v>
      </c>
      <c r="J333" s="161">
        <f t="shared" si="65"/>
        <v>98.875</v>
      </c>
      <c r="K333" s="265"/>
      <c r="L333" s="193"/>
      <c r="M333" s="168"/>
    </row>
    <row r="334" spans="1:13" s="17" customFormat="1" ht="11.25">
      <c r="A334" s="36"/>
      <c r="B334" s="36"/>
      <c r="C334" s="31">
        <v>4210</v>
      </c>
      <c r="D334" s="32" t="s">
        <v>73</v>
      </c>
      <c r="E334" s="241">
        <v>50000</v>
      </c>
      <c r="F334" s="193">
        <v>49307.87</v>
      </c>
      <c r="G334" s="161">
        <f t="shared" si="66"/>
        <v>98.61574</v>
      </c>
      <c r="H334" s="265">
        <f t="shared" si="67"/>
        <v>50000</v>
      </c>
      <c r="I334" s="193">
        <f t="shared" si="68"/>
        <v>49307.87</v>
      </c>
      <c r="J334" s="161">
        <f t="shared" si="65"/>
        <v>98.61574</v>
      </c>
      <c r="K334" s="265"/>
      <c r="L334" s="193"/>
      <c r="M334" s="168"/>
    </row>
    <row r="335" spans="1:13" s="17" customFormat="1" ht="15" customHeight="1">
      <c r="A335" s="36"/>
      <c r="B335" s="36"/>
      <c r="C335" s="31">
        <v>4240</v>
      </c>
      <c r="D335" s="525" t="s">
        <v>252</v>
      </c>
      <c r="E335" s="241">
        <v>20400</v>
      </c>
      <c r="F335" s="193">
        <v>20274.69</v>
      </c>
      <c r="G335" s="161">
        <f t="shared" si="66"/>
        <v>99.38573529411764</v>
      </c>
      <c r="H335" s="265">
        <f t="shared" si="67"/>
        <v>20400</v>
      </c>
      <c r="I335" s="193">
        <f t="shared" si="68"/>
        <v>20274.69</v>
      </c>
      <c r="J335" s="161">
        <f t="shared" si="65"/>
        <v>99.38573529411764</v>
      </c>
      <c r="K335" s="265"/>
      <c r="L335" s="193"/>
      <c r="M335" s="168"/>
    </row>
    <row r="336" spans="1:13" s="17" customFormat="1" ht="11.25">
      <c r="A336" s="36"/>
      <c r="B336" s="36"/>
      <c r="C336" s="31">
        <v>4260</v>
      </c>
      <c r="D336" s="32" t="s">
        <v>61</v>
      </c>
      <c r="E336" s="241">
        <v>9000</v>
      </c>
      <c r="F336" s="193">
        <v>6134.46</v>
      </c>
      <c r="G336" s="161">
        <f t="shared" si="66"/>
        <v>68.16066666666667</v>
      </c>
      <c r="H336" s="265">
        <f t="shared" si="67"/>
        <v>9000</v>
      </c>
      <c r="I336" s="193">
        <f t="shared" si="68"/>
        <v>6134.46</v>
      </c>
      <c r="J336" s="161">
        <f t="shared" si="65"/>
        <v>68.16066666666667</v>
      </c>
      <c r="K336" s="265"/>
      <c r="L336" s="193"/>
      <c r="M336" s="168"/>
    </row>
    <row r="337" spans="1:13" s="17" customFormat="1" ht="11.25">
      <c r="A337" s="36"/>
      <c r="B337" s="36"/>
      <c r="C337" s="31">
        <v>4270</v>
      </c>
      <c r="D337" s="32" t="s">
        <v>65</v>
      </c>
      <c r="E337" s="241">
        <v>11200</v>
      </c>
      <c r="F337" s="193">
        <v>10324.64</v>
      </c>
      <c r="G337" s="161">
        <f t="shared" si="66"/>
        <v>92.18428571428572</v>
      </c>
      <c r="H337" s="265">
        <f t="shared" si="67"/>
        <v>11200</v>
      </c>
      <c r="I337" s="193">
        <f t="shared" si="68"/>
        <v>10324.64</v>
      </c>
      <c r="J337" s="161">
        <f t="shared" si="65"/>
        <v>92.18428571428572</v>
      </c>
      <c r="K337" s="265"/>
      <c r="L337" s="193"/>
      <c r="M337" s="168"/>
    </row>
    <row r="338" spans="1:13" s="17" customFormat="1" ht="11.25">
      <c r="A338" s="36"/>
      <c r="B338" s="36"/>
      <c r="C338" s="31">
        <v>4280</v>
      </c>
      <c r="D338" s="32" t="s">
        <v>51</v>
      </c>
      <c r="E338" s="241">
        <v>6000</v>
      </c>
      <c r="F338" s="193">
        <v>2187.3</v>
      </c>
      <c r="G338" s="161">
        <f t="shared" si="66"/>
        <v>36.455000000000005</v>
      </c>
      <c r="H338" s="265">
        <f t="shared" si="67"/>
        <v>6000</v>
      </c>
      <c r="I338" s="193">
        <f t="shared" si="68"/>
        <v>2187.3</v>
      </c>
      <c r="J338" s="161">
        <f t="shared" si="65"/>
        <v>36.455000000000005</v>
      </c>
      <c r="K338" s="265"/>
      <c r="L338" s="193"/>
      <c r="M338" s="168"/>
    </row>
    <row r="339" spans="1:13" s="17" customFormat="1" ht="11.25">
      <c r="A339" s="319"/>
      <c r="B339" s="36"/>
      <c r="C339" s="31">
        <v>4300</v>
      </c>
      <c r="D339" s="32" t="s">
        <v>39</v>
      </c>
      <c r="E339" s="241">
        <v>73900</v>
      </c>
      <c r="F339" s="193">
        <v>69321.22</v>
      </c>
      <c r="G339" s="161">
        <f t="shared" si="66"/>
        <v>93.80408660351827</v>
      </c>
      <c r="H339" s="265">
        <f t="shared" si="67"/>
        <v>73900</v>
      </c>
      <c r="I339" s="193">
        <f t="shared" si="68"/>
        <v>69321.22</v>
      </c>
      <c r="J339" s="161">
        <f t="shared" si="65"/>
        <v>93.80408660351827</v>
      </c>
      <c r="K339" s="265"/>
      <c r="L339" s="193"/>
      <c r="M339" s="168"/>
    </row>
    <row r="340" spans="1:13" s="17" customFormat="1" ht="11.25">
      <c r="A340" s="36"/>
      <c r="B340" s="36"/>
      <c r="C340" s="31">
        <v>4330</v>
      </c>
      <c r="D340" s="32" t="s">
        <v>133</v>
      </c>
      <c r="E340" s="241">
        <v>1000</v>
      </c>
      <c r="F340" s="193">
        <v>0</v>
      </c>
      <c r="G340" s="161">
        <f t="shared" si="66"/>
        <v>0</v>
      </c>
      <c r="H340" s="265">
        <f t="shared" si="67"/>
        <v>1000</v>
      </c>
      <c r="I340" s="193">
        <f t="shared" si="68"/>
        <v>0</v>
      </c>
      <c r="J340" s="161">
        <f t="shared" si="65"/>
        <v>0</v>
      </c>
      <c r="K340" s="265"/>
      <c r="L340" s="193"/>
      <c r="M340" s="168"/>
    </row>
    <row r="341" spans="1:13" s="17" customFormat="1" ht="14.25" customHeight="1">
      <c r="A341" s="36"/>
      <c r="B341" s="36"/>
      <c r="C341" s="31">
        <v>4360</v>
      </c>
      <c r="D341" s="32" t="s">
        <v>209</v>
      </c>
      <c r="E341" s="241">
        <v>1000</v>
      </c>
      <c r="F341" s="193">
        <v>1000</v>
      </c>
      <c r="G341" s="161">
        <f t="shared" si="66"/>
        <v>100</v>
      </c>
      <c r="H341" s="265">
        <f t="shared" si="67"/>
        <v>1000</v>
      </c>
      <c r="I341" s="193">
        <f t="shared" si="68"/>
        <v>1000</v>
      </c>
      <c r="J341" s="161">
        <f t="shared" si="65"/>
        <v>100</v>
      </c>
      <c r="K341" s="265"/>
      <c r="L341" s="193"/>
      <c r="M341" s="168"/>
    </row>
    <row r="342" spans="1:13" s="17" customFormat="1" ht="11.25">
      <c r="A342" s="36"/>
      <c r="B342" s="36"/>
      <c r="C342" s="31">
        <v>4410</v>
      </c>
      <c r="D342" s="32" t="s">
        <v>49</v>
      </c>
      <c r="E342" s="241">
        <v>3000</v>
      </c>
      <c r="F342" s="193">
        <v>796.58</v>
      </c>
      <c r="G342" s="161">
        <f t="shared" si="66"/>
        <v>26.552666666666667</v>
      </c>
      <c r="H342" s="265">
        <f t="shared" si="67"/>
        <v>3000</v>
      </c>
      <c r="I342" s="193">
        <f t="shared" si="68"/>
        <v>796.58</v>
      </c>
      <c r="J342" s="161">
        <f t="shared" si="65"/>
        <v>26.552666666666667</v>
      </c>
      <c r="K342" s="265"/>
      <c r="L342" s="193"/>
      <c r="M342" s="168"/>
    </row>
    <row r="343" spans="1:13" s="17" customFormat="1" ht="21">
      <c r="A343" s="36"/>
      <c r="B343" s="36"/>
      <c r="C343" s="33">
        <v>4440</v>
      </c>
      <c r="D343" s="34" t="s">
        <v>63</v>
      </c>
      <c r="E343" s="245">
        <v>73827</v>
      </c>
      <c r="F343" s="194">
        <v>73827</v>
      </c>
      <c r="G343" s="164">
        <f t="shared" si="66"/>
        <v>100</v>
      </c>
      <c r="H343" s="263">
        <f t="shared" si="67"/>
        <v>73827</v>
      </c>
      <c r="I343" s="194">
        <f t="shared" si="68"/>
        <v>73827</v>
      </c>
      <c r="J343" s="164">
        <f t="shared" si="65"/>
        <v>100</v>
      </c>
      <c r="K343" s="263"/>
      <c r="L343" s="194"/>
      <c r="M343" s="178"/>
    </row>
    <row r="344" spans="1:13" s="17" customFormat="1" ht="15" customHeight="1">
      <c r="A344" s="105"/>
      <c r="B344" s="105">
        <v>80104</v>
      </c>
      <c r="C344" s="105"/>
      <c r="D344" s="107" t="s">
        <v>101</v>
      </c>
      <c r="E344" s="240">
        <f>SUM(E345:E368)</f>
        <v>21472378</v>
      </c>
      <c r="F344" s="108">
        <f>SUM(F345:F368)</f>
        <v>20944978.75</v>
      </c>
      <c r="G344" s="156">
        <f t="shared" si="66"/>
        <v>97.54382467559019</v>
      </c>
      <c r="H344" s="240">
        <f>SUM(H345:H368)</f>
        <v>20864574</v>
      </c>
      <c r="I344" s="108">
        <f>SUM(I345:I368)</f>
        <v>20340854.18</v>
      </c>
      <c r="J344" s="156">
        <f t="shared" si="65"/>
        <v>97.48990887616493</v>
      </c>
      <c r="K344" s="240">
        <f>SUM(K345:K368)</f>
        <v>607804</v>
      </c>
      <c r="L344" s="108">
        <f>SUM(L345:L368)</f>
        <v>604124.5700000001</v>
      </c>
      <c r="M344" s="156">
        <f>L344*100/K344</f>
        <v>99.39463544168845</v>
      </c>
    </row>
    <row r="345" spans="1:13" s="17" customFormat="1" ht="31.5">
      <c r="A345" s="103"/>
      <c r="B345" s="103"/>
      <c r="C345" s="31">
        <v>2310</v>
      </c>
      <c r="D345" s="32" t="s">
        <v>107</v>
      </c>
      <c r="E345" s="241">
        <v>1659000</v>
      </c>
      <c r="F345" s="193">
        <v>1443619.34</v>
      </c>
      <c r="G345" s="161">
        <f t="shared" si="66"/>
        <v>87.01744062688367</v>
      </c>
      <c r="H345" s="265">
        <f aca="true" t="shared" si="69" ref="H345:I347">E345</f>
        <v>1659000</v>
      </c>
      <c r="I345" s="193">
        <f t="shared" si="69"/>
        <v>1443619.34</v>
      </c>
      <c r="J345" s="161">
        <f t="shared" si="65"/>
        <v>87.01744062688367</v>
      </c>
      <c r="K345" s="265"/>
      <c r="L345" s="193"/>
      <c r="M345" s="168"/>
    </row>
    <row r="346" spans="1:13" s="17" customFormat="1" ht="21">
      <c r="A346" s="117"/>
      <c r="B346" s="117"/>
      <c r="C346" s="38">
        <v>2540</v>
      </c>
      <c r="D346" s="74" t="s">
        <v>137</v>
      </c>
      <c r="E346" s="57">
        <v>12365981</v>
      </c>
      <c r="F346" s="197">
        <v>12278317.6</v>
      </c>
      <c r="G346" s="161">
        <f t="shared" si="66"/>
        <v>99.29109223117842</v>
      </c>
      <c r="H346" s="265">
        <f t="shared" si="69"/>
        <v>12365981</v>
      </c>
      <c r="I346" s="193">
        <f t="shared" si="69"/>
        <v>12278317.6</v>
      </c>
      <c r="J346" s="161">
        <f t="shared" si="65"/>
        <v>99.29109223117842</v>
      </c>
      <c r="K346" s="272"/>
      <c r="L346" s="197"/>
      <c r="M346" s="168"/>
    </row>
    <row r="347" spans="1:13" s="17" customFormat="1" ht="46.5" customHeight="1">
      <c r="A347" s="117"/>
      <c r="B347" s="117"/>
      <c r="C347" s="38">
        <v>2590</v>
      </c>
      <c r="D347" s="74" t="s">
        <v>273</v>
      </c>
      <c r="E347" s="57">
        <v>195000</v>
      </c>
      <c r="F347" s="197">
        <v>193992.92</v>
      </c>
      <c r="G347" s="161">
        <f t="shared" si="66"/>
        <v>99.48354871794872</v>
      </c>
      <c r="H347" s="265">
        <f t="shared" si="69"/>
        <v>195000</v>
      </c>
      <c r="I347" s="193">
        <f t="shared" si="69"/>
        <v>193992.92</v>
      </c>
      <c r="J347" s="161">
        <f t="shared" si="65"/>
        <v>99.48354871794872</v>
      </c>
      <c r="K347" s="272"/>
      <c r="L347" s="197"/>
      <c r="M347" s="168"/>
    </row>
    <row r="348" spans="1:13" s="17" customFormat="1" ht="11.25">
      <c r="A348" s="46"/>
      <c r="B348" s="46"/>
      <c r="C348" s="41">
        <v>3020</v>
      </c>
      <c r="D348" s="42" t="s">
        <v>112</v>
      </c>
      <c r="E348" s="244">
        <v>145950</v>
      </c>
      <c r="F348" s="521">
        <v>138002.1</v>
      </c>
      <c r="G348" s="160">
        <f aca="true" t="shared" si="70" ref="G348:G390">F348*100/E348</f>
        <v>94.55436793422405</v>
      </c>
      <c r="H348" s="266">
        <f aca="true" t="shared" si="71" ref="H348:H390">E348</f>
        <v>145950</v>
      </c>
      <c r="I348" s="190">
        <f aca="true" t="shared" si="72" ref="I348:I390">F348</f>
        <v>138002.1</v>
      </c>
      <c r="J348" s="160">
        <f aca="true" t="shared" si="73" ref="J348:J390">I348*100/H348</f>
        <v>94.55436793422405</v>
      </c>
      <c r="K348" s="519"/>
      <c r="L348" s="518"/>
      <c r="M348" s="176"/>
    </row>
    <row r="349" spans="1:13" s="17" customFormat="1" ht="11.25">
      <c r="A349" s="36"/>
      <c r="B349" s="36"/>
      <c r="C349" s="19">
        <v>4010</v>
      </c>
      <c r="D349" s="21" t="s">
        <v>41</v>
      </c>
      <c r="E349" s="246">
        <v>3953791</v>
      </c>
      <c r="F349" s="327">
        <v>3885568.74</v>
      </c>
      <c r="G349" s="162">
        <f t="shared" si="70"/>
        <v>98.27451021058017</v>
      </c>
      <c r="H349" s="264">
        <f t="shared" si="71"/>
        <v>3953791</v>
      </c>
      <c r="I349" s="192">
        <f t="shared" si="72"/>
        <v>3885568.74</v>
      </c>
      <c r="J349" s="162">
        <f t="shared" si="73"/>
        <v>98.27451021058017</v>
      </c>
      <c r="K349" s="328"/>
      <c r="L349" s="327"/>
      <c r="M349" s="177"/>
    </row>
    <row r="350" spans="1:13" s="17" customFormat="1" ht="11.25">
      <c r="A350" s="36"/>
      <c r="B350" s="36"/>
      <c r="C350" s="31">
        <v>4040</v>
      </c>
      <c r="D350" s="32" t="s">
        <v>42</v>
      </c>
      <c r="E350" s="241">
        <v>259209</v>
      </c>
      <c r="F350" s="198">
        <v>259206.8</v>
      </c>
      <c r="G350" s="161">
        <f t="shared" si="70"/>
        <v>99.9991512640379</v>
      </c>
      <c r="H350" s="265">
        <f t="shared" si="71"/>
        <v>259209</v>
      </c>
      <c r="I350" s="193">
        <f t="shared" si="72"/>
        <v>259206.8</v>
      </c>
      <c r="J350" s="161">
        <f t="shared" si="73"/>
        <v>99.9991512640379</v>
      </c>
      <c r="K350" s="273"/>
      <c r="L350" s="198"/>
      <c r="M350" s="168"/>
    </row>
    <row r="351" spans="1:13" s="17" customFormat="1" ht="11.25">
      <c r="A351" s="36"/>
      <c r="B351" s="36"/>
      <c r="C351" s="31">
        <v>4110</v>
      </c>
      <c r="D351" s="32" t="s">
        <v>43</v>
      </c>
      <c r="E351" s="241">
        <v>699600</v>
      </c>
      <c r="F351" s="198">
        <v>698348.94</v>
      </c>
      <c r="G351" s="161">
        <f t="shared" si="70"/>
        <v>99.82117495711836</v>
      </c>
      <c r="H351" s="265">
        <f t="shared" si="71"/>
        <v>699600</v>
      </c>
      <c r="I351" s="193">
        <f t="shared" si="72"/>
        <v>698348.94</v>
      </c>
      <c r="J351" s="161">
        <f t="shared" si="73"/>
        <v>99.82117495711836</v>
      </c>
      <c r="K351" s="273"/>
      <c r="L351" s="198"/>
      <c r="M351" s="168"/>
    </row>
    <row r="352" spans="1:13" s="17" customFormat="1" ht="11.25">
      <c r="A352" s="36"/>
      <c r="B352" s="36"/>
      <c r="C352" s="31">
        <v>4120</v>
      </c>
      <c r="D352" s="32" t="s">
        <v>34</v>
      </c>
      <c r="E352" s="241">
        <v>75700</v>
      </c>
      <c r="F352" s="193">
        <v>75360.66</v>
      </c>
      <c r="G352" s="161">
        <f t="shared" si="70"/>
        <v>99.55173051519155</v>
      </c>
      <c r="H352" s="265">
        <f t="shared" si="71"/>
        <v>75700</v>
      </c>
      <c r="I352" s="193">
        <f t="shared" si="72"/>
        <v>75360.66</v>
      </c>
      <c r="J352" s="161">
        <f t="shared" si="73"/>
        <v>99.55173051519155</v>
      </c>
      <c r="K352" s="265"/>
      <c r="L352" s="193"/>
      <c r="M352" s="168"/>
    </row>
    <row r="353" spans="1:13" s="17" customFormat="1" ht="11.25">
      <c r="A353" s="36"/>
      <c r="B353" s="36"/>
      <c r="C353" s="31">
        <v>4170</v>
      </c>
      <c r="D353" s="32" t="s">
        <v>114</v>
      </c>
      <c r="E353" s="241">
        <v>66340</v>
      </c>
      <c r="F353" s="193">
        <v>60220.5</v>
      </c>
      <c r="G353" s="161">
        <f t="shared" si="70"/>
        <v>90.77555019596021</v>
      </c>
      <c r="H353" s="265">
        <f t="shared" si="71"/>
        <v>66340</v>
      </c>
      <c r="I353" s="193">
        <f t="shared" si="72"/>
        <v>60220.5</v>
      </c>
      <c r="J353" s="161">
        <f t="shared" si="73"/>
        <v>90.77555019596021</v>
      </c>
      <c r="K353" s="265"/>
      <c r="L353" s="193"/>
      <c r="M353" s="168"/>
    </row>
    <row r="354" spans="1:13" s="17" customFormat="1" ht="11.25">
      <c r="A354" s="36"/>
      <c r="B354" s="36"/>
      <c r="C354" s="31">
        <v>4210</v>
      </c>
      <c r="D354" s="32" t="s">
        <v>73</v>
      </c>
      <c r="E354" s="241">
        <v>157727</v>
      </c>
      <c r="F354" s="193">
        <v>149290.52</v>
      </c>
      <c r="G354" s="161">
        <f t="shared" si="70"/>
        <v>94.65121380613337</v>
      </c>
      <c r="H354" s="265">
        <f t="shared" si="71"/>
        <v>157727</v>
      </c>
      <c r="I354" s="193">
        <f t="shared" si="72"/>
        <v>149290.52</v>
      </c>
      <c r="J354" s="161">
        <f t="shared" si="73"/>
        <v>94.65121380613337</v>
      </c>
      <c r="K354" s="265"/>
      <c r="L354" s="193"/>
      <c r="M354" s="168"/>
    </row>
    <row r="355" spans="1:13" s="17" customFormat="1" ht="11.25">
      <c r="A355" s="36"/>
      <c r="B355" s="36"/>
      <c r="C355" s="31">
        <v>4240</v>
      </c>
      <c r="D355" s="525" t="s">
        <v>252</v>
      </c>
      <c r="E355" s="241">
        <v>52400</v>
      </c>
      <c r="F355" s="193">
        <v>48250.98</v>
      </c>
      <c r="G355" s="161">
        <f t="shared" si="70"/>
        <v>92.08202290076336</v>
      </c>
      <c r="H355" s="265">
        <f t="shared" si="71"/>
        <v>52400</v>
      </c>
      <c r="I355" s="193">
        <f t="shared" si="72"/>
        <v>48250.98</v>
      </c>
      <c r="J355" s="161">
        <f t="shared" si="73"/>
        <v>92.08202290076336</v>
      </c>
      <c r="K355" s="265"/>
      <c r="L355" s="193"/>
      <c r="M355" s="168"/>
    </row>
    <row r="356" spans="1:13" s="17" customFormat="1" ht="11.25">
      <c r="A356" s="36"/>
      <c r="B356" s="36"/>
      <c r="C356" s="31">
        <v>4260</v>
      </c>
      <c r="D356" s="32" t="s">
        <v>61</v>
      </c>
      <c r="E356" s="241">
        <v>134050</v>
      </c>
      <c r="F356" s="193">
        <v>118700.9</v>
      </c>
      <c r="G356" s="161">
        <f t="shared" si="70"/>
        <v>88.5497202536367</v>
      </c>
      <c r="H356" s="265">
        <f t="shared" si="71"/>
        <v>134050</v>
      </c>
      <c r="I356" s="193">
        <f t="shared" si="72"/>
        <v>118700.9</v>
      </c>
      <c r="J356" s="161">
        <f t="shared" si="73"/>
        <v>88.5497202536367</v>
      </c>
      <c r="K356" s="265"/>
      <c r="L356" s="193"/>
      <c r="M356" s="168"/>
    </row>
    <row r="357" spans="1:13" s="17" customFormat="1" ht="11.25">
      <c r="A357" s="36"/>
      <c r="B357" s="36"/>
      <c r="C357" s="31">
        <v>4270</v>
      </c>
      <c r="D357" s="32" t="s">
        <v>90</v>
      </c>
      <c r="E357" s="241">
        <v>39391</v>
      </c>
      <c r="F357" s="193">
        <v>34010.34</v>
      </c>
      <c r="G357" s="161">
        <f t="shared" si="70"/>
        <v>86.34038232083469</v>
      </c>
      <c r="H357" s="265">
        <f t="shared" si="71"/>
        <v>39391</v>
      </c>
      <c r="I357" s="193">
        <f t="shared" si="72"/>
        <v>34010.34</v>
      </c>
      <c r="J357" s="161">
        <f t="shared" si="73"/>
        <v>86.34038232083469</v>
      </c>
      <c r="K357" s="265"/>
      <c r="L357" s="193"/>
      <c r="M357" s="168"/>
    </row>
    <row r="358" spans="1:13" s="17" customFormat="1" ht="11.25">
      <c r="A358" s="36"/>
      <c r="B358" s="36"/>
      <c r="C358" s="31">
        <v>4280</v>
      </c>
      <c r="D358" s="32" t="s">
        <v>51</v>
      </c>
      <c r="E358" s="241">
        <v>7110</v>
      </c>
      <c r="F358" s="193">
        <v>2648</v>
      </c>
      <c r="G358" s="161">
        <f t="shared" si="70"/>
        <v>37.24331926863572</v>
      </c>
      <c r="H358" s="265">
        <f t="shared" si="71"/>
        <v>7110</v>
      </c>
      <c r="I358" s="193">
        <f t="shared" si="72"/>
        <v>2648</v>
      </c>
      <c r="J358" s="161">
        <f t="shared" si="73"/>
        <v>37.24331926863572</v>
      </c>
      <c r="K358" s="265"/>
      <c r="L358" s="193"/>
      <c r="M358" s="168"/>
    </row>
    <row r="359" spans="1:13" s="17" customFormat="1" ht="11.25">
      <c r="A359" s="36"/>
      <c r="B359" s="36"/>
      <c r="C359" s="31">
        <v>4300</v>
      </c>
      <c r="D359" s="32" t="s">
        <v>39</v>
      </c>
      <c r="E359" s="241">
        <v>217600</v>
      </c>
      <c r="F359" s="193">
        <v>192765.4</v>
      </c>
      <c r="G359" s="161">
        <f t="shared" si="70"/>
        <v>88.58704044117647</v>
      </c>
      <c r="H359" s="265">
        <f t="shared" si="71"/>
        <v>217600</v>
      </c>
      <c r="I359" s="193">
        <f t="shared" si="72"/>
        <v>192765.4</v>
      </c>
      <c r="J359" s="161">
        <f t="shared" si="73"/>
        <v>88.58704044117647</v>
      </c>
      <c r="K359" s="265"/>
      <c r="L359" s="193"/>
      <c r="M359" s="168"/>
    </row>
    <row r="360" spans="1:13" s="17" customFormat="1" ht="11.25">
      <c r="A360" s="36"/>
      <c r="B360" s="36"/>
      <c r="C360" s="31">
        <v>4330</v>
      </c>
      <c r="D360" s="32" t="s">
        <v>133</v>
      </c>
      <c r="E360" s="241">
        <v>600000</v>
      </c>
      <c r="F360" s="193">
        <v>535811.94</v>
      </c>
      <c r="G360" s="161">
        <f t="shared" si="70"/>
        <v>89.30198999999999</v>
      </c>
      <c r="H360" s="265">
        <f t="shared" si="71"/>
        <v>600000</v>
      </c>
      <c r="I360" s="193">
        <f t="shared" si="72"/>
        <v>535811.94</v>
      </c>
      <c r="J360" s="161">
        <f t="shared" si="73"/>
        <v>89.30198999999999</v>
      </c>
      <c r="K360" s="265"/>
      <c r="L360" s="193"/>
      <c r="M360" s="168"/>
    </row>
    <row r="361" spans="1:13" s="17" customFormat="1" ht="21">
      <c r="A361" s="36"/>
      <c r="B361" s="36"/>
      <c r="C361" s="31">
        <v>4360</v>
      </c>
      <c r="D361" s="32" t="s">
        <v>209</v>
      </c>
      <c r="E361" s="241">
        <v>11050</v>
      </c>
      <c r="F361" s="193">
        <v>10161.64</v>
      </c>
      <c r="G361" s="161">
        <f t="shared" si="70"/>
        <v>91.96054298642534</v>
      </c>
      <c r="H361" s="265">
        <f t="shared" si="71"/>
        <v>11050</v>
      </c>
      <c r="I361" s="193">
        <f t="shared" si="72"/>
        <v>10161.64</v>
      </c>
      <c r="J361" s="161">
        <f t="shared" si="73"/>
        <v>91.96054298642534</v>
      </c>
      <c r="K361" s="265"/>
      <c r="L361" s="193"/>
      <c r="M361" s="168"/>
    </row>
    <row r="362" spans="1:13" s="17" customFormat="1" ht="11.25">
      <c r="A362" s="36"/>
      <c r="B362" s="36"/>
      <c r="C362" s="31">
        <v>4410</v>
      </c>
      <c r="D362" s="32" t="s">
        <v>49</v>
      </c>
      <c r="E362" s="241">
        <v>21600</v>
      </c>
      <c r="F362" s="193">
        <v>15816.22</v>
      </c>
      <c r="G362" s="161">
        <f t="shared" si="70"/>
        <v>73.22324074074074</v>
      </c>
      <c r="H362" s="265">
        <f t="shared" si="71"/>
        <v>21600</v>
      </c>
      <c r="I362" s="193">
        <f t="shared" si="72"/>
        <v>15816.22</v>
      </c>
      <c r="J362" s="161">
        <f t="shared" si="73"/>
        <v>73.22324074074074</v>
      </c>
      <c r="K362" s="265"/>
      <c r="L362" s="193"/>
      <c r="M362" s="168"/>
    </row>
    <row r="363" spans="1:13" s="17" customFormat="1" ht="11.25">
      <c r="A363" s="36"/>
      <c r="B363" s="36"/>
      <c r="C363" s="31">
        <v>4430</v>
      </c>
      <c r="D363" s="32" t="s">
        <v>62</v>
      </c>
      <c r="E363" s="241">
        <v>1100</v>
      </c>
      <c r="F363" s="193">
        <v>1020</v>
      </c>
      <c r="G363" s="161">
        <f t="shared" si="70"/>
        <v>92.72727272727273</v>
      </c>
      <c r="H363" s="265">
        <f t="shared" si="71"/>
        <v>1100</v>
      </c>
      <c r="I363" s="193">
        <f t="shared" si="72"/>
        <v>1020</v>
      </c>
      <c r="J363" s="161">
        <f t="shared" si="73"/>
        <v>92.72727272727273</v>
      </c>
      <c r="K363" s="265"/>
      <c r="L363" s="193"/>
      <c r="M363" s="168"/>
    </row>
    <row r="364" spans="1:13" s="17" customFormat="1" ht="21">
      <c r="A364" s="36"/>
      <c r="B364" s="36"/>
      <c r="C364" s="31">
        <v>4440</v>
      </c>
      <c r="D364" s="32" t="s">
        <v>63</v>
      </c>
      <c r="E364" s="241">
        <v>183627</v>
      </c>
      <c r="F364" s="193">
        <v>183627</v>
      </c>
      <c r="G364" s="161">
        <f t="shared" si="70"/>
        <v>100</v>
      </c>
      <c r="H364" s="265">
        <f t="shared" si="71"/>
        <v>183627</v>
      </c>
      <c r="I364" s="193">
        <f t="shared" si="72"/>
        <v>183627</v>
      </c>
      <c r="J364" s="161">
        <f t="shared" si="73"/>
        <v>100</v>
      </c>
      <c r="K364" s="265"/>
      <c r="L364" s="193"/>
      <c r="M364" s="168"/>
    </row>
    <row r="365" spans="1:13" s="17" customFormat="1" ht="11.25">
      <c r="A365" s="36"/>
      <c r="B365" s="36"/>
      <c r="C365" s="31">
        <v>4520</v>
      </c>
      <c r="D365" s="32" t="s">
        <v>200</v>
      </c>
      <c r="E365" s="241">
        <v>14348</v>
      </c>
      <c r="F365" s="193">
        <v>12706</v>
      </c>
      <c r="G365" s="161">
        <f t="shared" si="70"/>
        <v>88.55589629216615</v>
      </c>
      <c r="H365" s="265">
        <f t="shared" si="71"/>
        <v>14348</v>
      </c>
      <c r="I365" s="193">
        <f t="shared" si="72"/>
        <v>12706</v>
      </c>
      <c r="J365" s="161">
        <f t="shared" si="73"/>
        <v>88.55589629216615</v>
      </c>
      <c r="K365" s="265"/>
      <c r="L365" s="193"/>
      <c r="M365" s="168"/>
    </row>
    <row r="366" spans="1:13" s="17" customFormat="1" ht="21">
      <c r="A366" s="36"/>
      <c r="B366" s="36"/>
      <c r="C366" s="31">
        <v>4700</v>
      </c>
      <c r="D366" s="32" t="s">
        <v>140</v>
      </c>
      <c r="E366" s="241">
        <v>4000</v>
      </c>
      <c r="F366" s="193">
        <v>3407.64</v>
      </c>
      <c r="G366" s="161">
        <f aca="true" t="shared" si="74" ref="G366:G372">F366*100/E366</f>
        <v>85.191</v>
      </c>
      <c r="H366" s="265">
        <f>E366</f>
        <v>4000</v>
      </c>
      <c r="I366" s="193">
        <f>F366</f>
        <v>3407.64</v>
      </c>
      <c r="J366" s="161">
        <f>I366*100/H366</f>
        <v>85.191</v>
      </c>
      <c r="K366" s="265"/>
      <c r="L366" s="193"/>
      <c r="M366" s="168"/>
    </row>
    <row r="367" spans="1:13" s="17" customFormat="1" ht="11.25">
      <c r="A367" s="36"/>
      <c r="B367" s="36"/>
      <c r="C367" s="31">
        <v>6050</v>
      </c>
      <c r="D367" s="32" t="s">
        <v>219</v>
      </c>
      <c r="E367" s="241">
        <v>507804</v>
      </c>
      <c r="F367" s="193">
        <v>504124.57</v>
      </c>
      <c r="G367" s="161">
        <f t="shared" si="74"/>
        <v>99.27542319477594</v>
      </c>
      <c r="H367" s="265"/>
      <c r="I367" s="193"/>
      <c r="J367" s="161"/>
      <c r="K367" s="265">
        <f>E367</f>
        <v>507804</v>
      </c>
      <c r="L367" s="193">
        <f>F367</f>
        <v>504124.57</v>
      </c>
      <c r="M367" s="193">
        <f>G367</f>
        <v>99.27542319477594</v>
      </c>
    </row>
    <row r="368" spans="1:13" s="17" customFormat="1" ht="21">
      <c r="A368" s="46"/>
      <c r="B368" s="46"/>
      <c r="C368" s="41">
        <v>6060</v>
      </c>
      <c r="D368" s="42" t="s">
        <v>117</v>
      </c>
      <c r="E368" s="244">
        <v>100000</v>
      </c>
      <c r="F368" s="190">
        <v>100000</v>
      </c>
      <c r="G368" s="160">
        <f t="shared" si="74"/>
        <v>100</v>
      </c>
      <c r="H368" s="266"/>
      <c r="I368" s="190"/>
      <c r="J368" s="160"/>
      <c r="K368" s="266">
        <f>E368</f>
        <v>100000</v>
      </c>
      <c r="L368" s="190">
        <f>F368</f>
        <v>100000</v>
      </c>
      <c r="M368" s="160">
        <f>L368*100/K368</f>
        <v>100</v>
      </c>
    </row>
    <row r="369" spans="1:13" s="17" customFormat="1" ht="15" customHeight="1">
      <c r="A369" s="121"/>
      <c r="B369" s="121">
        <v>80106</v>
      </c>
      <c r="C369" s="121"/>
      <c r="D369" s="78" t="s">
        <v>181</v>
      </c>
      <c r="E369" s="248">
        <f>SUM(E370:E371)</f>
        <v>329010</v>
      </c>
      <c r="F369" s="195">
        <f>SUM(F370:F371)</f>
        <v>300981.78</v>
      </c>
      <c r="G369" s="141">
        <f t="shared" si="74"/>
        <v>91.48104312938817</v>
      </c>
      <c r="H369" s="248">
        <f>SUM(H370:H371)</f>
        <v>329010</v>
      </c>
      <c r="I369" s="195">
        <f>SUM(I370:I371)</f>
        <v>300981.78</v>
      </c>
      <c r="J369" s="141">
        <f>I369*100/H369</f>
        <v>91.48104312938817</v>
      </c>
      <c r="K369" s="248"/>
      <c r="L369" s="195"/>
      <c r="M369" s="141"/>
    </row>
    <row r="370" spans="1:13" s="17" customFormat="1" ht="42">
      <c r="A370" s="330"/>
      <c r="B370" s="393"/>
      <c r="C370" s="19">
        <v>2310</v>
      </c>
      <c r="D370" s="116" t="s">
        <v>233</v>
      </c>
      <c r="E370" s="61">
        <v>8000</v>
      </c>
      <c r="F370" s="72">
        <v>8000</v>
      </c>
      <c r="G370" s="146">
        <f t="shared" si="74"/>
        <v>100</v>
      </c>
      <c r="H370" s="71">
        <f>E370</f>
        <v>8000</v>
      </c>
      <c r="I370" s="72">
        <f>F370</f>
        <v>8000</v>
      </c>
      <c r="J370" s="72">
        <f>G370</f>
        <v>100</v>
      </c>
      <c r="K370" s="71"/>
      <c r="L370" s="72"/>
      <c r="M370" s="146"/>
    </row>
    <row r="371" spans="1:13" s="17" customFormat="1" ht="21">
      <c r="A371" s="360"/>
      <c r="B371" s="366"/>
      <c r="C371" s="41">
        <v>2540</v>
      </c>
      <c r="D371" s="367" t="s">
        <v>137</v>
      </c>
      <c r="E371" s="59">
        <v>321010</v>
      </c>
      <c r="F371" s="188">
        <v>292981.78</v>
      </c>
      <c r="G371" s="159">
        <f t="shared" si="74"/>
        <v>91.26873929161087</v>
      </c>
      <c r="H371" s="260">
        <f>E371</f>
        <v>321010</v>
      </c>
      <c r="I371" s="188">
        <f>F371</f>
        <v>292981.78</v>
      </c>
      <c r="J371" s="159">
        <f>I371*100/H371</f>
        <v>91.26873929161087</v>
      </c>
      <c r="K371" s="260"/>
      <c r="L371" s="188"/>
      <c r="M371" s="159"/>
    </row>
    <row r="372" spans="1:13" s="17" customFormat="1" ht="15.75" customHeight="1">
      <c r="A372" s="110"/>
      <c r="B372" s="110">
        <v>80110</v>
      </c>
      <c r="C372" s="110"/>
      <c r="D372" s="112" t="s">
        <v>57</v>
      </c>
      <c r="E372" s="243">
        <f>SUM(E373:E385,E386:E392)</f>
        <v>8583952</v>
      </c>
      <c r="F372" s="196">
        <f>SUM(F373:F385,F386:F392)</f>
        <v>8507760.54</v>
      </c>
      <c r="G372" s="165">
        <f t="shared" si="74"/>
        <v>99.11239648124779</v>
      </c>
      <c r="H372" s="243">
        <f>SUM(H373:H385,H386:H392)</f>
        <v>8583952</v>
      </c>
      <c r="I372" s="196">
        <f>SUM(I373:I385,I386:I392)</f>
        <v>8507760.54</v>
      </c>
      <c r="J372" s="165">
        <f>I372*100/H372</f>
        <v>99.11239648124779</v>
      </c>
      <c r="K372" s="243"/>
      <c r="L372" s="196"/>
      <c r="M372" s="165"/>
    </row>
    <row r="373" spans="1:13" s="17" customFormat="1" ht="21">
      <c r="A373" s="33"/>
      <c r="B373" s="33"/>
      <c r="C373" s="31">
        <v>2540</v>
      </c>
      <c r="D373" s="74" t="s">
        <v>137</v>
      </c>
      <c r="E373" s="241">
        <v>92000</v>
      </c>
      <c r="F373" s="193">
        <v>86309.68</v>
      </c>
      <c r="G373" s="161">
        <f t="shared" si="70"/>
        <v>93.81486956521739</v>
      </c>
      <c r="H373" s="265">
        <f t="shared" si="71"/>
        <v>92000</v>
      </c>
      <c r="I373" s="193">
        <f t="shared" si="72"/>
        <v>86309.68</v>
      </c>
      <c r="J373" s="161">
        <f t="shared" si="73"/>
        <v>93.81486956521739</v>
      </c>
      <c r="K373" s="265"/>
      <c r="L373" s="193"/>
      <c r="M373" s="168"/>
    </row>
    <row r="374" spans="1:13" s="17" customFormat="1" ht="11.25">
      <c r="A374" s="36"/>
      <c r="B374" s="36"/>
      <c r="C374" s="19">
        <v>3020</v>
      </c>
      <c r="D374" s="21" t="s">
        <v>122</v>
      </c>
      <c r="E374" s="241">
        <v>290132</v>
      </c>
      <c r="F374" s="193">
        <v>286727.46</v>
      </c>
      <c r="G374" s="162">
        <f>F374*100/E374</f>
        <v>98.82655480953498</v>
      </c>
      <c r="H374" s="264">
        <f>E374</f>
        <v>290132</v>
      </c>
      <c r="I374" s="192">
        <f>F374</f>
        <v>286727.46</v>
      </c>
      <c r="J374" s="162">
        <f>I374*100/H374</f>
        <v>98.82655480953498</v>
      </c>
      <c r="K374" s="265"/>
      <c r="L374" s="193"/>
      <c r="M374" s="168"/>
    </row>
    <row r="375" spans="1:13" s="17" customFormat="1" ht="11.25">
      <c r="A375" s="36"/>
      <c r="B375" s="36"/>
      <c r="C375" s="31">
        <v>4010</v>
      </c>
      <c r="D375" s="32" t="s">
        <v>41</v>
      </c>
      <c r="E375" s="241">
        <v>5604817</v>
      </c>
      <c r="F375" s="193">
        <v>5603369.31</v>
      </c>
      <c r="G375" s="162">
        <f t="shared" si="70"/>
        <v>99.9741706107443</v>
      </c>
      <c r="H375" s="264">
        <f t="shared" si="71"/>
        <v>5604817</v>
      </c>
      <c r="I375" s="192">
        <f t="shared" si="72"/>
        <v>5603369.31</v>
      </c>
      <c r="J375" s="162">
        <f t="shared" si="73"/>
        <v>99.9741706107443</v>
      </c>
      <c r="K375" s="265"/>
      <c r="L375" s="193"/>
      <c r="M375" s="168"/>
    </row>
    <row r="376" spans="1:13" s="17" customFormat="1" ht="11.25">
      <c r="A376" s="36"/>
      <c r="B376" s="36"/>
      <c r="C376" s="31">
        <v>4040</v>
      </c>
      <c r="D376" s="32" t="s">
        <v>42</v>
      </c>
      <c r="E376" s="241">
        <v>467183</v>
      </c>
      <c r="F376" s="193">
        <v>467180.4</v>
      </c>
      <c r="G376" s="161">
        <f t="shared" si="70"/>
        <v>99.99944347290034</v>
      </c>
      <c r="H376" s="265">
        <f t="shared" si="71"/>
        <v>467183</v>
      </c>
      <c r="I376" s="193">
        <f t="shared" si="72"/>
        <v>467180.4</v>
      </c>
      <c r="J376" s="161">
        <f t="shared" si="73"/>
        <v>99.99944347290034</v>
      </c>
      <c r="K376" s="265"/>
      <c r="L376" s="193"/>
      <c r="M376" s="168"/>
    </row>
    <row r="377" spans="1:13" s="17" customFormat="1" ht="11.25">
      <c r="A377" s="36"/>
      <c r="B377" s="36"/>
      <c r="C377" s="19">
        <v>4110</v>
      </c>
      <c r="D377" s="21" t="s">
        <v>104</v>
      </c>
      <c r="E377" s="246">
        <v>1045500</v>
      </c>
      <c r="F377" s="192">
        <v>1031516.27</v>
      </c>
      <c r="G377" s="162">
        <f t="shared" si="70"/>
        <v>98.66248397895744</v>
      </c>
      <c r="H377" s="264">
        <f t="shared" si="71"/>
        <v>1045500</v>
      </c>
      <c r="I377" s="192">
        <f t="shared" si="72"/>
        <v>1031516.27</v>
      </c>
      <c r="J377" s="162">
        <f t="shared" si="73"/>
        <v>98.66248397895744</v>
      </c>
      <c r="K377" s="264"/>
      <c r="L377" s="192"/>
      <c r="M377" s="177"/>
    </row>
    <row r="378" spans="1:13" s="17" customFormat="1" ht="11.25">
      <c r="A378" s="36"/>
      <c r="B378" s="36"/>
      <c r="C378" s="19">
        <v>4120</v>
      </c>
      <c r="D378" s="21" t="s">
        <v>34</v>
      </c>
      <c r="E378" s="246">
        <v>109000</v>
      </c>
      <c r="F378" s="192">
        <v>107250.36</v>
      </c>
      <c r="G378" s="162">
        <f t="shared" si="70"/>
        <v>98.3948256880734</v>
      </c>
      <c r="H378" s="264">
        <f t="shared" si="71"/>
        <v>109000</v>
      </c>
      <c r="I378" s="192">
        <f t="shared" si="72"/>
        <v>107250.36</v>
      </c>
      <c r="J378" s="162">
        <f t="shared" si="73"/>
        <v>98.3948256880734</v>
      </c>
      <c r="K378" s="264"/>
      <c r="L378" s="192"/>
      <c r="M378" s="177"/>
    </row>
    <row r="379" spans="1:13" s="17" customFormat="1" ht="11.25">
      <c r="A379" s="46"/>
      <c r="B379" s="46"/>
      <c r="C379" s="41">
        <v>4170</v>
      </c>
      <c r="D379" s="42" t="s">
        <v>114</v>
      </c>
      <c r="E379" s="244">
        <v>20000</v>
      </c>
      <c r="F379" s="190">
        <v>7700</v>
      </c>
      <c r="G379" s="160">
        <f t="shared" si="70"/>
        <v>38.5</v>
      </c>
      <c r="H379" s="266">
        <f t="shared" si="71"/>
        <v>20000</v>
      </c>
      <c r="I379" s="190">
        <f t="shared" si="72"/>
        <v>7700</v>
      </c>
      <c r="J379" s="160">
        <f t="shared" si="73"/>
        <v>38.5</v>
      </c>
      <c r="K379" s="266"/>
      <c r="L379" s="190"/>
      <c r="M379" s="176"/>
    </row>
    <row r="380" spans="1:13" s="17" customFormat="1" ht="11.25">
      <c r="A380" s="36"/>
      <c r="B380" s="36"/>
      <c r="C380" s="19">
        <v>4210</v>
      </c>
      <c r="D380" s="21" t="s">
        <v>73</v>
      </c>
      <c r="E380" s="246">
        <v>149650</v>
      </c>
      <c r="F380" s="192">
        <v>148509.48</v>
      </c>
      <c r="G380" s="162">
        <f t="shared" si="70"/>
        <v>99.23787504176413</v>
      </c>
      <c r="H380" s="264">
        <f t="shared" si="71"/>
        <v>149650</v>
      </c>
      <c r="I380" s="192">
        <f t="shared" si="72"/>
        <v>148509.48</v>
      </c>
      <c r="J380" s="162">
        <f t="shared" si="73"/>
        <v>99.23787504176413</v>
      </c>
      <c r="K380" s="264"/>
      <c r="L380" s="192"/>
      <c r="M380" s="177"/>
    </row>
    <row r="381" spans="1:13" s="17" customFormat="1" ht="11.25">
      <c r="A381" s="36"/>
      <c r="B381" s="36"/>
      <c r="C381" s="31">
        <v>4240</v>
      </c>
      <c r="D381" s="525" t="s">
        <v>252</v>
      </c>
      <c r="E381" s="241">
        <v>30000</v>
      </c>
      <c r="F381" s="193">
        <v>28924.53</v>
      </c>
      <c r="G381" s="161">
        <f t="shared" si="70"/>
        <v>96.4151</v>
      </c>
      <c r="H381" s="265">
        <f t="shared" si="71"/>
        <v>30000</v>
      </c>
      <c r="I381" s="193">
        <f t="shared" si="72"/>
        <v>28924.53</v>
      </c>
      <c r="J381" s="161">
        <f t="shared" si="73"/>
        <v>96.4151</v>
      </c>
      <c r="K381" s="265"/>
      <c r="L381" s="193"/>
      <c r="M381" s="168"/>
    </row>
    <row r="382" spans="1:13" s="17" customFormat="1" ht="11.25">
      <c r="A382" s="36"/>
      <c r="B382" s="36"/>
      <c r="C382" s="31">
        <v>4260</v>
      </c>
      <c r="D382" s="32" t="s">
        <v>61</v>
      </c>
      <c r="E382" s="241">
        <v>338000</v>
      </c>
      <c r="F382" s="193">
        <v>324836.59</v>
      </c>
      <c r="G382" s="161">
        <f t="shared" si="70"/>
        <v>96.1055</v>
      </c>
      <c r="H382" s="265">
        <f t="shared" si="71"/>
        <v>338000</v>
      </c>
      <c r="I382" s="193">
        <f t="shared" si="72"/>
        <v>324836.59</v>
      </c>
      <c r="J382" s="161">
        <f t="shared" si="73"/>
        <v>96.1055</v>
      </c>
      <c r="K382" s="265"/>
      <c r="L382" s="193"/>
      <c r="M382" s="168"/>
    </row>
    <row r="383" spans="1:13" s="17" customFormat="1" ht="11.25">
      <c r="A383" s="36"/>
      <c r="B383" s="36"/>
      <c r="C383" s="31">
        <v>4270</v>
      </c>
      <c r="D383" s="32" t="s">
        <v>54</v>
      </c>
      <c r="E383" s="241">
        <v>71200</v>
      </c>
      <c r="F383" s="193">
        <v>66524.52</v>
      </c>
      <c r="G383" s="161">
        <f t="shared" si="70"/>
        <v>93.43331460674158</v>
      </c>
      <c r="H383" s="265">
        <f t="shared" si="71"/>
        <v>71200</v>
      </c>
      <c r="I383" s="193">
        <f t="shared" si="72"/>
        <v>66524.52</v>
      </c>
      <c r="J383" s="161">
        <f t="shared" si="73"/>
        <v>93.43331460674158</v>
      </c>
      <c r="K383" s="265"/>
      <c r="L383" s="193"/>
      <c r="M383" s="168"/>
    </row>
    <row r="384" spans="1:13" s="17" customFormat="1" ht="11.25">
      <c r="A384" s="36"/>
      <c r="B384" s="36"/>
      <c r="C384" s="31">
        <v>4280</v>
      </c>
      <c r="D384" s="32" t="s">
        <v>51</v>
      </c>
      <c r="E384" s="241">
        <v>8500</v>
      </c>
      <c r="F384" s="193">
        <v>6105</v>
      </c>
      <c r="G384" s="161">
        <f t="shared" si="70"/>
        <v>71.82352941176471</v>
      </c>
      <c r="H384" s="265">
        <f t="shared" si="71"/>
        <v>8500</v>
      </c>
      <c r="I384" s="193">
        <f t="shared" si="72"/>
        <v>6105</v>
      </c>
      <c r="J384" s="161">
        <f t="shared" si="73"/>
        <v>71.82352941176471</v>
      </c>
      <c r="K384" s="265"/>
      <c r="L384" s="193"/>
      <c r="M384" s="168"/>
    </row>
    <row r="385" spans="1:13" s="17" customFormat="1" ht="11.25">
      <c r="A385" s="36"/>
      <c r="B385" s="36"/>
      <c r="C385" s="31">
        <v>4300</v>
      </c>
      <c r="D385" s="32" t="s">
        <v>39</v>
      </c>
      <c r="E385" s="241">
        <v>48600</v>
      </c>
      <c r="F385" s="193">
        <v>44598.17</v>
      </c>
      <c r="G385" s="161">
        <f t="shared" si="70"/>
        <v>91.76578189300412</v>
      </c>
      <c r="H385" s="265">
        <f t="shared" si="71"/>
        <v>48600</v>
      </c>
      <c r="I385" s="193">
        <f t="shared" si="72"/>
        <v>44598.17</v>
      </c>
      <c r="J385" s="161">
        <f t="shared" si="73"/>
        <v>91.76578189300412</v>
      </c>
      <c r="K385" s="265"/>
      <c r="L385" s="193"/>
      <c r="M385" s="168"/>
    </row>
    <row r="386" spans="1:13" s="17" customFormat="1" ht="11.25" customHeight="1">
      <c r="A386" s="36"/>
      <c r="B386" s="36"/>
      <c r="C386" s="31">
        <v>4360</v>
      </c>
      <c r="D386" s="32" t="s">
        <v>209</v>
      </c>
      <c r="E386" s="241">
        <v>18000</v>
      </c>
      <c r="F386" s="193">
        <v>13698.76</v>
      </c>
      <c r="G386" s="161">
        <f t="shared" si="70"/>
        <v>76.10422222222222</v>
      </c>
      <c r="H386" s="265">
        <f t="shared" si="71"/>
        <v>18000</v>
      </c>
      <c r="I386" s="193">
        <f t="shared" si="72"/>
        <v>13698.76</v>
      </c>
      <c r="J386" s="161">
        <f t="shared" si="73"/>
        <v>76.10422222222222</v>
      </c>
      <c r="K386" s="265"/>
      <c r="L386" s="193"/>
      <c r="M386" s="168"/>
    </row>
    <row r="387" spans="1:13" s="17" customFormat="1" ht="11.25">
      <c r="A387" s="36"/>
      <c r="B387" s="36"/>
      <c r="C387" s="31">
        <v>4410</v>
      </c>
      <c r="D387" s="32" t="s">
        <v>49</v>
      </c>
      <c r="E387" s="241">
        <v>5000</v>
      </c>
      <c r="F387" s="193">
        <v>3301.69</v>
      </c>
      <c r="G387" s="161">
        <f t="shared" si="70"/>
        <v>66.0338</v>
      </c>
      <c r="H387" s="265">
        <f t="shared" si="71"/>
        <v>5000</v>
      </c>
      <c r="I387" s="193">
        <f t="shared" si="72"/>
        <v>3301.69</v>
      </c>
      <c r="J387" s="161">
        <f t="shared" si="73"/>
        <v>66.0338</v>
      </c>
      <c r="K387" s="265"/>
      <c r="L387" s="193"/>
      <c r="M387" s="168"/>
    </row>
    <row r="388" spans="1:13" s="17" customFormat="1" ht="11.25">
      <c r="A388" s="36"/>
      <c r="B388" s="36"/>
      <c r="C388" s="31">
        <v>4420</v>
      </c>
      <c r="D388" s="32" t="s">
        <v>139</v>
      </c>
      <c r="E388" s="241">
        <v>5000</v>
      </c>
      <c r="F388" s="193">
        <v>1839.32</v>
      </c>
      <c r="G388" s="162">
        <f t="shared" si="70"/>
        <v>36.7864</v>
      </c>
      <c r="H388" s="264">
        <f t="shared" si="71"/>
        <v>5000</v>
      </c>
      <c r="I388" s="192">
        <f t="shared" si="72"/>
        <v>1839.32</v>
      </c>
      <c r="J388" s="162">
        <f t="shared" si="73"/>
        <v>36.7864</v>
      </c>
      <c r="K388" s="265"/>
      <c r="L388" s="193"/>
      <c r="M388" s="168"/>
    </row>
    <row r="389" spans="1:13" s="17" customFormat="1" ht="11.25">
      <c r="A389" s="36"/>
      <c r="B389" s="36"/>
      <c r="C389" s="31">
        <v>4430</v>
      </c>
      <c r="D389" s="32" t="s">
        <v>250</v>
      </c>
      <c r="E389" s="241">
        <v>4500</v>
      </c>
      <c r="F389" s="193">
        <v>2599</v>
      </c>
      <c r="G389" s="162">
        <f t="shared" si="70"/>
        <v>57.75555555555555</v>
      </c>
      <c r="H389" s="264">
        <f t="shared" si="71"/>
        <v>4500</v>
      </c>
      <c r="I389" s="192">
        <f t="shared" si="72"/>
        <v>2599</v>
      </c>
      <c r="J389" s="162">
        <f t="shared" si="73"/>
        <v>57.75555555555555</v>
      </c>
      <c r="K389" s="265"/>
      <c r="L389" s="193"/>
      <c r="M389" s="168"/>
    </row>
    <row r="390" spans="1:13" s="18" customFormat="1" ht="24.75" customHeight="1">
      <c r="A390" s="36"/>
      <c r="B390" s="36"/>
      <c r="C390" s="31">
        <v>4440</v>
      </c>
      <c r="D390" s="32" t="s">
        <v>63</v>
      </c>
      <c r="E390" s="241">
        <v>271770</v>
      </c>
      <c r="F390" s="193">
        <v>271770</v>
      </c>
      <c r="G390" s="162">
        <f t="shared" si="70"/>
        <v>100</v>
      </c>
      <c r="H390" s="264">
        <f t="shared" si="71"/>
        <v>271770</v>
      </c>
      <c r="I390" s="192">
        <f t="shared" si="72"/>
        <v>271770</v>
      </c>
      <c r="J390" s="162">
        <f t="shared" si="73"/>
        <v>100</v>
      </c>
      <c r="K390" s="265"/>
      <c r="L390" s="193"/>
      <c r="M390" s="168"/>
    </row>
    <row r="391" spans="1:13" s="17" customFormat="1" ht="11.25">
      <c r="A391" s="36"/>
      <c r="B391" s="36"/>
      <c r="C391" s="31">
        <v>4520</v>
      </c>
      <c r="D391" s="32" t="s">
        <v>200</v>
      </c>
      <c r="E391" s="241">
        <v>5000</v>
      </c>
      <c r="F391" s="308">
        <v>5000</v>
      </c>
      <c r="G391" s="161">
        <f aca="true" t="shared" si="75" ref="G391:G399">F391*100/E391</f>
        <v>100</v>
      </c>
      <c r="H391" s="265">
        <f>E391</f>
        <v>5000</v>
      </c>
      <c r="I391" s="193">
        <f>F391</f>
        <v>5000</v>
      </c>
      <c r="J391" s="161">
        <f>I391*100/H391</f>
        <v>100</v>
      </c>
      <c r="K391" s="301"/>
      <c r="L391" s="193"/>
      <c r="M391" s="168"/>
    </row>
    <row r="392" spans="1:13" s="17" customFormat="1" ht="21">
      <c r="A392" s="36"/>
      <c r="B392" s="36"/>
      <c r="C392" s="31">
        <v>4700</v>
      </c>
      <c r="D392" s="32" t="s">
        <v>266</v>
      </c>
      <c r="E392" s="244">
        <v>100</v>
      </c>
      <c r="F392" s="308">
        <v>0</v>
      </c>
      <c r="G392" s="161">
        <f t="shared" si="75"/>
        <v>0</v>
      </c>
      <c r="H392" s="265">
        <f>E392</f>
        <v>100</v>
      </c>
      <c r="I392" s="193">
        <f>F392</f>
        <v>0</v>
      </c>
      <c r="J392" s="161">
        <f>I392*100/H392</f>
        <v>0</v>
      </c>
      <c r="K392" s="306"/>
      <c r="L392" s="306"/>
      <c r="M392" s="323"/>
    </row>
    <row r="393" spans="1:13" s="17" customFormat="1" ht="14.25" customHeight="1">
      <c r="A393" s="105"/>
      <c r="B393" s="105">
        <v>80113</v>
      </c>
      <c r="C393" s="105"/>
      <c r="D393" s="309" t="s">
        <v>58</v>
      </c>
      <c r="E393" s="240">
        <f>SUM(E394:E399)</f>
        <v>2702865</v>
      </c>
      <c r="F393" s="108">
        <f>SUM(F394:F399)</f>
        <v>2675480.1799999997</v>
      </c>
      <c r="G393" s="156">
        <f t="shared" si="75"/>
        <v>98.98682250130878</v>
      </c>
      <c r="H393" s="240">
        <f>SUM(H394:H399)</f>
        <v>2702865</v>
      </c>
      <c r="I393" s="108">
        <f>SUM(I394:I399)</f>
        <v>2675480.1799999997</v>
      </c>
      <c r="J393" s="156">
        <f>I393*100/H393</f>
        <v>98.98682250130878</v>
      </c>
      <c r="K393" s="240"/>
      <c r="L393" s="108"/>
      <c r="M393" s="156"/>
    </row>
    <row r="394" spans="1:13" s="17" customFormat="1" ht="11.25">
      <c r="A394" s="36"/>
      <c r="B394" s="36"/>
      <c r="C394" s="31">
        <v>4010</v>
      </c>
      <c r="D394" s="32" t="s">
        <v>231</v>
      </c>
      <c r="E394" s="317">
        <v>145000</v>
      </c>
      <c r="F394" s="193">
        <v>144326.24</v>
      </c>
      <c r="G394" s="162">
        <f t="shared" si="75"/>
        <v>99.53533793103448</v>
      </c>
      <c r="H394" s="265">
        <f>E394</f>
        <v>145000</v>
      </c>
      <c r="I394" s="308">
        <f>F394</f>
        <v>144326.24</v>
      </c>
      <c r="J394" s="161">
        <f>I394*100/H394</f>
        <v>99.53533793103448</v>
      </c>
      <c r="K394" s="265"/>
      <c r="L394" s="308"/>
      <c r="M394" s="168"/>
    </row>
    <row r="395" spans="1:13" s="17" customFormat="1" ht="11.25">
      <c r="A395" s="33"/>
      <c r="B395" s="33"/>
      <c r="C395" s="312">
        <v>4110</v>
      </c>
      <c r="D395" s="310" t="s">
        <v>104</v>
      </c>
      <c r="E395" s="241">
        <v>34500</v>
      </c>
      <c r="F395" s="186">
        <v>34260.63</v>
      </c>
      <c r="G395" s="162">
        <f t="shared" si="75"/>
        <v>99.30617391304347</v>
      </c>
      <c r="H395" s="264">
        <f aca="true" t="shared" si="76" ref="H395:J397">E395</f>
        <v>34500</v>
      </c>
      <c r="I395" s="192">
        <f t="shared" si="76"/>
        <v>34260.63</v>
      </c>
      <c r="J395" s="162">
        <f t="shared" si="76"/>
        <v>99.30617391304347</v>
      </c>
      <c r="K395" s="310"/>
      <c r="L395" s="310"/>
      <c r="M395" s="310"/>
    </row>
    <row r="396" spans="1:13" s="17" customFormat="1" ht="11.25">
      <c r="A396" s="36"/>
      <c r="B396" s="36"/>
      <c r="C396" s="31">
        <v>4120</v>
      </c>
      <c r="D396" s="32" t="s">
        <v>34</v>
      </c>
      <c r="E396" s="317">
        <v>2000</v>
      </c>
      <c r="F396" s="193">
        <v>1242.15</v>
      </c>
      <c r="G396" s="161">
        <f t="shared" si="75"/>
        <v>62.10750000000001</v>
      </c>
      <c r="H396" s="265">
        <f t="shared" si="76"/>
        <v>2000</v>
      </c>
      <c r="I396" s="308">
        <f t="shared" si="76"/>
        <v>1242.15</v>
      </c>
      <c r="J396" s="161">
        <f t="shared" si="76"/>
        <v>62.10750000000001</v>
      </c>
      <c r="K396" s="265"/>
      <c r="L396" s="308"/>
      <c r="M396" s="168"/>
    </row>
    <row r="397" spans="1:13" s="17" customFormat="1" ht="11.25">
      <c r="A397" s="36"/>
      <c r="B397" s="36"/>
      <c r="C397" s="311">
        <v>4170</v>
      </c>
      <c r="D397" s="21" t="s">
        <v>114</v>
      </c>
      <c r="E397" s="246">
        <v>70000</v>
      </c>
      <c r="F397" s="192">
        <v>62821.2</v>
      </c>
      <c r="G397" s="162">
        <f t="shared" si="75"/>
        <v>89.74457142857143</v>
      </c>
      <c r="H397" s="264">
        <f t="shared" si="76"/>
        <v>70000</v>
      </c>
      <c r="I397" s="300">
        <f t="shared" si="76"/>
        <v>62821.2</v>
      </c>
      <c r="J397" s="162">
        <f t="shared" si="76"/>
        <v>89.74457142857143</v>
      </c>
      <c r="K397" s="264"/>
      <c r="L397" s="192"/>
      <c r="M397" s="177"/>
    </row>
    <row r="398" spans="1:13" s="17" customFormat="1" ht="12" customHeight="1">
      <c r="A398" s="36"/>
      <c r="B398" s="36"/>
      <c r="C398" s="311">
        <v>4300</v>
      </c>
      <c r="D398" s="21" t="s">
        <v>89</v>
      </c>
      <c r="E398" s="246">
        <v>2450000</v>
      </c>
      <c r="F398" s="192">
        <v>2431464.96</v>
      </c>
      <c r="G398" s="162">
        <f t="shared" si="75"/>
        <v>99.24346775510205</v>
      </c>
      <c r="H398" s="264">
        <f>E398</f>
        <v>2450000</v>
      </c>
      <c r="I398" s="300">
        <f>F398</f>
        <v>2431464.96</v>
      </c>
      <c r="J398" s="162">
        <f>I398*100/H398</f>
        <v>99.24346775510205</v>
      </c>
      <c r="K398" s="264"/>
      <c r="L398" s="192"/>
      <c r="M398" s="177"/>
    </row>
    <row r="399" spans="1:13" s="17" customFormat="1" ht="21.75" customHeight="1">
      <c r="A399" s="36"/>
      <c r="B399" s="36"/>
      <c r="C399" s="36">
        <v>4440</v>
      </c>
      <c r="D399" s="37" t="s">
        <v>274</v>
      </c>
      <c r="E399" s="242">
        <v>1365</v>
      </c>
      <c r="F399" s="199">
        <v>1365</v>
      </c>
      <c r="G399" s="163">
        <f t="shared" si="75"/>
        <v>100</v>
      </c>
      <c r="H399" s="268">
        <f>E399</f>
        <v>1365</v>
      </c>
      <c r="I399" s="199">
        <f>F399</f>
        <v>1365</v>
      </c>
      <c r="J399" s="166">
        <f>I399*100/H399</f>
        <v>100</v>
      </c>
      <c r="K399" s="268"/>
      <c r="L399" s="199"/>
      <c r="M399" s="179"/>
    </row>
    <row r="400" spans="1:13" s="17" customFormat="1" ht="13.5" customHeight="1">
      <c r="A400" s="105"/>
      <c r="B400" s="105">
        <v>80146</v>
      </c>
      <c r="C400" s="105"/>
      <c r="D400" s="107" t="s">
        <v>59</v>
      </c>
      <c r="E400" s="240">
        <f>SUM(E401:E402)</f>
        <v>291200</v>
      </c>
      <c r="F400" s="108">
        <f>SUM(F401:F402)</f>
        <v>261297.83000000002</v>
      </c>
      <c r="G400" s="156">
        <f aca="true" t="shared" si="77" ref="G400:G420">F400*100/E400</f>
        <v>89.73139766483517</v>
      </c>
      <c r="H400" s="240">
        <f>SUM(H401:H402)</f>
        <v>291200</v>
      </c>
      <c r="I400" s="108">
        <f>SUM(I401:I402)</f>
        <v>261297.83000000002</v>
      </c>
      <c r="J400" s="156">
        <f aca="true" t="shared" si="78" ref="J400:J419">I400*100/H400</f>
        <v>89.73139766483517</v>
      </c>
      <c r="K400" s="240"/>
      <c r="L400" s="108"/>
      <c r="M400" s="156"/>
    </row>
    <row r="401" spans="1:13" s="17" customFormat="1" ht="11.25">
      <c r="A401" s="33"/>
      <c r="B401" s="33"/>
      <c r="C401" s="31">
        <v>4300</v>
      </c>
      <c r="D401" s="32" t="s">
        <v>92</v>
      </c>
      <c r="E401" s="241">
        <v>104700</v>
      </c>
      <c r="F401" s="193">
        <v>86000.02</v>
      </c>
      <c r="G401" s="161">
        <f t="shared" si="77"/>
        <v>82.13946513849092</v>
      </c>
      <c r="H401" s="265">
        <f>E401</f>
        <v>104700</v>
      </c>
      <c r="I401" s="193">
        <f>F401</f>
        <v>86000.02</v>
      </c>
      <c r="J401" s="161">
        <f t="shared" si="78"/>
        <v>82.13946513849092</v>
      </c>
      <c r="K401" s="265"/>
      <c r="L401" s="193"/>
      <c r="M401" s="168"/>
    </row>
    <row r="402" spans="1:13" s="17" customFormat="1" ht="21">
      <c r="A402" s="46"/>
      <c r="B402" s="46"/>
      <c r="C402" s="46">
        <v>4700</v>
      </c>
      <c r="D402" s="94" t="s">
        <v>140</v>
      </c>
      <c r="E402" s="247">
        <v>186500</v>
      </c>
      <c r="F402" s="202">
        <v>175297.81</v>
      </c>
      <c r="G402" s="166">
        <f t="shared" si="77"/>
        <v>93.99346380697051</v>
      </c>
      <c r="H402" s="269">
        <f>E402</f>
        <v>186500</v>
      </c>
      <c r="I402" s="202">
        <f>F402</f>
        <v>175297.81</v>
      </c>
      <c r="J402" s="166">
        <f t="shared" si="78"/>
        <v>93.99346380697051</v>
      </c>
      <c r="K402" s="269"/>
      <c r="L402" s="202"/>
      <c r="M402" s="175"/>
    </row>
    <row r="403" spans="1:13" s="17" customFormat="1" ht="15.75" customHeight="1">
      <c r="A403" s="105"/>
      <c r="B403" s="105">
        <v>80148</v>
      </c>
      <c r="C403" s="105"/>
      <c r="D403" s="107" t="s">
        <v>144</v>
      </c>
      <c r="E403" s="240">
        <f>SUM(E404:E408,E409:E419)</f>
        <v>3753525</v>
      </c>
      <c r="F403" s="108">
        <f>SUM(F404:F408,F409:F419)</f>
        <v>3701838.9399999995</v>
      </c>
      <c r="G403" s="156">
        <f t="shared" si="77"/>
        <v>98.6229994471863</v>
      </c>
      <c r="H403" s="240">
        <f>SUM(H404:H408,H409:H419)</f>
        <v>3753525</v>
      </c>
      <c r="I403" s="108">
        <f>SUM(I404:I408,I409:I419)</f>
        <v>3701838.9399999995</v>
      </c>
      <c r="J403" s="156">
        <f t="shared" si="78"/>
        <v>98.6229994471863</v>
      </c>
      <c r="K403" s="240"/>
      <c r="L403" s="108"/>
      <c r="M403" s="156"/>
    </row>
    <row r="404" spans="1:13" s="17" customFormat="1" ht="11.25">
      <c r="A404" s="33"/>
      <c r="B404" s="33"/>
      <c r="C404" s="31">
        <v>3020</v>
      </c>
      <c r="D404" s="32" t="s">
        <v>112</v>
      </c>
      <c r="E404" s="241">
        <v>18950</v>
      </c>
      <c r="F404" s="193">
        <v>15598.02</v>
      </c>
      <c r="G404" s="161">
        <f t="shared" si="77"/>
        <v>82.3114511873351</v>
      </c>
      <c r="H404" s="265">
        <f aca="true" t="shared" si="79" ref="H404:H419">E404</f>
        <v>18950</v>
      </c>
      <c r="I404" s="193">
        <f aca="true" t="shared" si="80" ref="I404:I419">F404</f>
        <v>15598.02</v>
      </c>
      <c r="J404" s="161">
        <f t="shared" si="78"/>
        <v>82.3114511873351</v>
      </c>
      <c r="K404" s="265"/>
      <c r="L404" s="193"/>
      <c r="M404" s="168"/>
    </row>
    <row r="405" spans="1:13" s="17" customFormat="1" ht="11.25">
      <c r="A405" s="36"/>
      <c r="B405" s="36"/>
      <c r="C405" s="31">
        <v>4010</v>
      </c>
      <c r="D405" s="32" t="s">
        <v>41</v>
      </c>
      <c r="E405" s="241">
        <v>2632032</v>
      </c>
      <c r="F405" s="193">
        <v>2619508.5</v>
      </c>
      <c r="G405" s="161">
        <f t="shared" si="77"/>
        <v>99.52418891563629</v>
      </c>
      <c r="H405" s="265">
        <f t="shared" si="79"/>
        <v>2632032</v>
      </c>
      <c r="I405" s="193">
        <f t="shared" si="80"/>
        <v>2619508.5</v>
      </c>
      <c r="J405" s="161">
        <f t="shared" si="78"/>
        <v>99.52418891563629</v>
      </c>
      <c r="K405" s="265"/>
      <c r="L405" s="193"/>
      <c r="M405" s="168"/>
    </row>
    <row r="406" spans="1:13" s="17" customFormat="1" ht="11.25">
      <c r="A406" s="36"/>
      <c r="B406" s="36"/>
      <c r="C406" s="31">
        <v>4040</v>
      </c>
      <c r="D406" s="32" t="s">
        <v>91</v>
      </c>
      <c r="E406" s="241">
        <v>174968</v>
      </c>
      <c r="F406" s="193">
        <v>174963.66</v>
      </c>
      <c r="G406" s="161">
        <f t="shared" si="77"/>
        <v>99.99751954643135</v>
      </c>
      <c r="H406" s="265">
        <f t="shared" si="79"/>
        <v>174968</v>
      </c>
      <c r="I406" s="193">
        <f t="shared" si="80"/>
        <v>174963.66</v>
      </c>
      <c r="J406" s="161">
        <f t="shared" si="78"/>
        <v>99.99751954643135</v>
      </c>
      <c r="K406" s="265"/>
      <c r="L406" s="193"/>
      <c r="M406" s="168"/>
    </row>
    <row r="407" spans="1:13" s="17" customFormat="1" ht="11.25">
      <c r="A407" s="36"/>
      <c r="B407" s="36"/>
      <c r="C407" s="31">
        <v>4110</v>
      </c>
      <c r="D407" s="32" t="s">
        <v>104</v>
      </c>
      <c r="E407" s="241">
        <v>448900</v>
      </c>
      <c r="F407" s="193">
        <v>446963.43</v>
      </c>
      <c r="G407" s="161">
        <f t="shared" si="77"/>
        <v>99.56859656939184</v>
      </c>
      <c r="H407" s="265">
        <f t="shared" si="79"/>
        <v>448900</v>
      </c>
      <c r="I407" s="193">
        <f t="shared" si="80"/>
        <v>446963.43</v>
      </c>
      <c r="J407" s="161">
        <f t="shared" si="78"/>
        <v>99.56859656939184</v>
      </c>
      <c r="K407" s="265"/>
      <c r="L407" s="193"/>
      <c r="M407" s="168"/>
    </row>
    <row r="408" spans="1:13" s="17" customFormat="1" ht="11.25">
      <c r="A408" s="36"/>
      <c r="B408" s="36"/>
      <c r="C408" s="31">
        <v>4120</v>
      </c>
      <c r="D408" s="32" t="s">
        <v>34</v>
      </c>
      <c r="E408" s="241">
        <v>48300</v>
      </c>
      <c r="F408" s="193">
        <v>46685.8</v>
      </c>
      <c r="G408" s="161">
        <f t="shared" si="77"/>
        <v>96.65797101449276</v>
      </c>
      <c r="H408" s="265">
        <f t="shared" si="79"/>
        <v>48300</v>
      </c>
      <c r="I408" s="193">
        <f t="shared" si="80"/>
        <v>46685.8</v>
      </c>
      <c r="J408" s="161">
        <f t="shared" si="78"/>
        <v>96.65797101449276</v>
      </c>
      <c r="K408" s="265"/>
      <c r="L408" s="193"/>
      <c r="M408" s="168"/>
    </row>
    <row r="409" spans="1:13" s="17" customFormat="1" ht="11.25">
      <c r="A409" s="36"/>
      <c r="B409" s="36"/>
      <c r="C409" s="31">
        <v>4170</v>
      </c>
      <c r="D409" s="32" t="s">
        <v>114</v>
      </c>
      <c r="E409" s="241">
        <v>10000</v>
      </c>
      <c r="F409" s="193">
        <v>2509.67</v>
      </c>
      <c r="G409" s="161">
        <f t="shared" si="77"/>
        <v>25.0967</v>
      </c>
      <c r="H409" s="265">
        <f t="shared" si="79"/>
        <v>10000</v>
      </c>
      <c r="I409" s="193">
        <f t="shared" si="80"/>
        <v>2509.67</v>
      </c>
      <c r="J409" s="161">
        <f t="shared" si="78"/>
        <v>25.0967</v>
      </c>
      <c r="K409" s="265"/>
      <c r="L409" s="193"/>
      <c r="M409" s="168"/>
    </row>
    <row r="410" spans="1:13" s="17" customFormat="1" ht="11.25">
      <c r="A410" s="36"/>
      <c r="B410" s="36"/>
      <c r="C410" s="31">
        <v>4210</v>
      </c>
      <c r="D410" s="32" t="s">
        <v>35</v>
      </c>
      <c r="E410" s="241">
        <v>167050</v>
      </c>
      <c r="F410" s="193">
        <v>160929.27</v>
      </c>
      <c r="G410" s="161">
        <f t="shared" si="77"/>
        <v>96.33598922478299</v>
      </c>
      <c r="H410" s="265">
        <f t="shared" si="79"/>
        <v>167050</v>
      </c>
      <c r="I410" s="193">
        <f t="shared" si="80"/>
        <v>160929.27</v>
      </c>
      <c r="J410" s="161">
        <f t="shared" si="78"/>
        <v>96.33598922478299</v>
      </c>
      <c r="K410" s="265"/>
      <c r="L410" s="193"/>
      <c r="M410" s="168"/>
    </row>
    <row r="411" spans="1:13" s="17" customFormat="1" ht="11.25">
      <c r="A411" s="36"/>
      <c r="B411" s="36"/>
      <c r="C411" s="31">
        <v>4260</v>
      </c>
      <c r="D411" s="32" t="s">
        <v>61</v>
      </c>
      <c r="E411" s="241">
        <v>28800</v>
      </c>
      <c r="F411" s="193">
        <v>24972.51</v>
      </c>
      <c r="G411" s="161">
        <f t="shared" si="77"/>
        <v>86.71010416666667</v>
      </c>
      <c r="H411" s="265">
        <f t="shared" si="79"/>
        <v>28800</v>
      </c>
      <c r="I411" s="193">
        <f t="shared" si="80"/>
        <v>24972.51</v>
      </c>
      <c r="J411" s="161">
        <f t="shared" si="78"/>
        <v>86.71010416666667</v>
      </c>
      <c r="K411" s="265"/>
      <c r="L411" s="193"/>
      <c r="M411" s="168"/>
    </row>
    <row r="412" spans="1:13" s="17" customFormat="1" ht="11.25">
      <c r="A412" s="36"/>
      <c r="B412" s="36"/>
      <c r="C412" s="31">
        <v>4270</v>
      </c>
      <c r="D412" s="32" t="s">
        <v>65</v>
      </c>
      <c r="E412" s="241">
        <v>37902</v>
      </c>
      <c r="F412" s="193">
        <v>34104.96</v>
      </c>
      <c r="G412" s="161">
        <f t="shared" si="77"/>
        <v>89.98195345892037</v>
      </c>
      <c r="H412" s="265">
        <f t="shared" si="79"/>
        <v>37902</v>
      </c>
      <c r="I412" s="193">
        <f t="shared" si="80"/>
        <v>34104.96</v>
      </c>
      <c r="J412" s="161">
        <f t="shared" si="78"/>
        <v>89.98195345892037</v>
      </c>
      <c r="K412" s="265"/>
      <c r="L412" s="193"/>
      <c r="M412" s="168"/>
    </row>
    <row r="413" spans="1:13" s="17" customFormat="1" ht="11.25">
      <c r="A413" s="36"/>
      <c r="B413" s="36"/>
      <c r="C413" s="31">
        <v>4280</v>
      </c>
      <c r="D413" s="32" t="s">
        <v>51</v>
      </c>
      <c r="E413" s="241">
        <v>4800</v>
      </c>
      <c r="F413" s="193">
        <v>1981.85</v>
      </c>
      <c r="G413" s="161">
        <f t="shared" si="77"/>
        <v>41.28854166666667</v>
      </c>
      <c r="H413" s="265">
        <f t="shared" si="79"/>
        <v>4800</v>
      </c>
      <c r="I413" s="193">
        <f t="shared" si="80"/>
        <v>1981.85</v>
      </c>
      <c r="J413" s="161">
        <f t="shared" si="78"/>
        <v>41.28854166666667</v>
      </c>
      <c r="K413" s="265"/>
      <c r="L413" s="193"/>
      <c r="M413" s="168"/>
    </row>
    <row r="414" spans="1:13" s="17" customFormat="1" ht="11.25">
      <c r="A414" s="46"/>
      <c r="B414" s="46"/>
      <c r="C414" s="41">
        <v>4300</v>
      </c>
      <c r="D414" s="42" t="s">
        <v>39</v>
      </c>
      <c r="E414" s="244">
        <v>92750</v>
      </c>
      <c r="F414" s="190">
        <v>86707.82</v>
      </c>
      <c r="G414" s="160">
        <f t="shared" si="77"/>
        <v>93.48552021563343</v>
      </c>
      <c r="H414" s="266">
        <f t="shared" si="79"/>
        <v>92750</v>
      </c>
      <c r="I414" s="190">
        <f t="shared" si="80"/>
        <v>86707.82</v>
      </c>
      <c r="J414" s="160">
        <f t="shared" si="78"/>
        <v>93.48552021563343</v>
      </c>
      <c r="K414" s="266"/>
      <c r="L414" s="190"/>
      <c r="M414" s="176"/>
    </row>
    <row r="415" spans="1:13" s="17" customFormat="1" ht="21">
      <c r="A415" s="36"/>
      <c r="B415" s="36"/>
      <c r="C415" s="19">
        <v>4360</v>
      </c>
      <c r="D415" s="21" t="s">
        <v>209</v>
      </c>
      <c r="E415" s="246">
        <v>1550</v>
      </c>
      <c r="F415" s="192">
        <v>915.26</v>
      </c>
      <c r="G415" s="162">
        <f t="shared" si="77"/>
        <v>59.049032258064514</v>
      </c>
      <c r="H415" s="264">
        <f t="shared" si="79"/>
        <v>1550</v>
      </c>
      <c r="I415" s="192">
        <f t="shared" si="80"/>
        <v>915.26</v>
      </c>
      <c r="J415" s="162">
        <f t="shared" si="78"/>
        <v>59.049032258064514</v>
      </c>
      <c r="K415" s="264"/>
      <c r="L415" s="192"/>
      <c r="M415" s="177"/>
    </row>
    <row r="416" spans="1:13" s="17" customFormat="1" ht="11.25">
      <c r="A416" s="36"/>
      <c r="B416" s="36"/>
      <c r="C416" s="31">
        <v>4410</v>
      </c>
      <c r="D416" s="32" t="s">
        <v>49</v>
      </c>
      <c r="E416" s="241">
        <v>7650</v>
      </c>
      <c r="F416" s="193">
        <v>6615.19</v>
      </c>
      <c r="G416" s="161">
        <f t="shared" si="77"/>
        <v>86.47307189542484</v>
      </c>
      <c r="H416" s="265">
        <f t="shared" si="79"/>
        <v>7650</v>
      </c>
      <c r="I416" s="193">
        <f t="shared" si="80"/>
        <v>6615.19</v>
      </c>
      <c r="J416" s="161">
        <f t="shared" si="78"/>
        <v>86.47307189542484</v>
      </c>
      <c r="K416" s="265"/>
      <c r="L416" s="193"/>
      <c r="M416" s="168"/>
    </row>
    <row r="417" spans="1:13" s="17" customFormat="1" ht="21">
      <c r="A417" s="36"/>
      <c r="B417" s="36"/>
      <c r="C417" s="31">
        <v>4440</v>
      </c>
      <c r="D417" s="32" t="s">
        <v>63</v>
      </c>
      <c r="E417" s="241">
        <v>72373</v>
      </c>
      <c r="F417" s="193">
        <v>72373</v>
      </c>
      <c r="G417" s="161">
        <f t="shared" si="77"/>
        <v>100</v>
      </c>
      <c r="H417" s="265">
        <f t="shared" si="79"/>
        <v>72373</v>
      </c>
      <c r="I417" s="193">
        <f t="shared" si="80"/>
        <v>72373</v>
      </c>
      <c r="J417" s="161">
        <f t="shared" si="78"/>
        <v>100</v>
      </c>
      <c r="K417" s="265"/>
      <c r="L417" s="193"/>
      <c r="M417" s="168"/>
    </row>
    <row r="418" spans="1:13" s="17" customFormat="1" ht="11.25">
      <c r="A418" s="36"/>
      <c r="B418" s="36"/>
      <c r="C418" s="31">
        <v>4520</v>
      </c>
      <c r="D418" s="32" t="s">
        <v>200</v>
      </c>
      <c r="E418" s="241">
        <v>5500</v>
      </c>
      <c r="F418" s="193">
        <v>5500</v>
      </c>
      <c r="G418" s="161">
        <f t="shared" si="77"/>
        <v>100</v>
      </c>
      <c r="H418" s="265">
        <f t="shared" si="79"/>
        <v>5500</v>
      </c>
      <c r="I418" s="193">
        <f t="shared" si="80"/>
        <v>5500</v>
      </c>
      <c r="J418" s="161">
        <f t="shared" si="78"/>
        <v>100</v>
      </c>
      <c r="K418" s="265"/>
      <c r="L418" s="193"/>
      <c r="M418" s="168"/>
    </row>
    <row r="419" spans="1:13" s="17" customFormat="1" ht="21">
      <c r="A419" s="46"/>
      <c r="B419" s="46"/>
      <c r="C419" s="41">
        <v>4700</v>
      </c>
      <c r="D419" s="42" t="s">
        <v>140</v>
      </c>
      <c r="E419" s="244">
        <v>2000</v>
      </c>
      <c r="F419" s="190">
        <v>1510</v>
      </c>
      <c r="G419" s="160">
        <f t="shared" si="77"/>
        <v>75.5</v>
      </c>
      <c r="H419" s="266">
        <f t="shared" si="79"/>
        <v>2000</v>
      </c>
      <c r="I419" s="190">
        <f t="shared" si="80"/>
        <v>1510</v>
      </c>
      <c r="J419" s="160">
        <f t="shared" si="78"/>
        <v>75.5</v>
      </c>
      <c r="K419" s="266"/>
      <c r="L419" s="190"/>
      <c r="M419" s="176"/>
    </row>
    <row r="420" spans="1:13" s="17" customFormat="1" ht="52.5">
      <c r="A420" s="105"/>
      <c r="B420" s="105">
        <v>80149</v>
      </c>
      <c r="C420" s="105"/>
      <c r="D420" s="107" t="s">
        <v>212</v>
      </c>
      <c r="E420" s="240">
        <f>SUM(E421:E434)</f>
        <v>1582213</v>
      </c>
      <c r="F420" s="108">
        <f>SUM(F421:F434)</f>
        <v>1567169.21</v>
      </c>
      <c r="G420" s="156">
        <f t="shared" si="77"/>
        <v>99.04919312380824</v>
      </c>
      <c r="H420" s="240">
        <f>SUM(H421:H434)</f>
        <v>1582213</v>
      </c>
      <c r="I420" s="108">
        <f>SUM(I421:I434)</f>
        <v>1567169.21</v>
      </c>
      <c r="J420" s="156">
        <f>I420*100/H420</f>
        <v>99.04919312380824</v>
      </c>
      <c r="K420" s="240"/>
      <c r="L420" s="108"/>
      <c r="M420" s="156"/>
    </row>
    <row r="421" spans="1:13" s="17" customFormat="1" ht="21">
      <c r="A421" s="103"/>
      <c r="B421" s="103"/>
      <c r="C421" s="38">
        <v>2540</v>
      </c>
      <c r="D421" s="74" t="s">
        <v>137</v>
      </c>
      <c r="E421" s="57">
        <v>1371000</v>
      </c>
      <c r="F421" s="197">
        <v>1370673.5</v>
      </c>
      <c r="G421" s="161">
        <f aca="true" t="shared" si="81" ref="G421:G434">F421*100/E421</f>
        <v>99.97618526622902</v>
      </c>
      <c r="H421" s="265">
        <f aca="true" t="shared" si="82" ref="H421:H434">E421</f>
        <v>1371000</v>
      </c>
      <c r="I421" s="193">
        <f aca="true" t="shared" si="83" ref="I421:I434">F421</f>
        <v>1370673.5</v>
      </c>
      <c r="J421" s="161">
        <f aca="true" t="shared" si="84" ref="J421:J434">I421*100/H421</f>
        <v>99.97618526622902</v>
      </c>
      <c r="K421" s="272"/>
      <c r="L421" s="197"/>
      <c r="M421" s="168"/>
    </row>
    <row r="422" spans="1:13" s="17" customFormat="1" ht="42">
      <c r="A422" s="117"/>
      <c r="B422" s="117"/>
      <c r="C422" s="38">
        <v>2590</v>
      </c>
      <c r="D422" s="74" t="s">
        <v>211</v>
      </c>
      <c r="E422" s="57">
        <v>120000</v>
      </c>
      <c r="F422" s="197">
        <v>118882.2</v>
      </c>
      <c r="G422" s="161">
        <f t="shared" si="81"/>
        <v>99.0685</v>
      </c>
      <c r="H422" s="265">
        <f t="shared" si="82"/>
        <v>120000</v>
      </c>
      <c r="I422" s="193">
        <f t="shared" si="83"/>
        <v>118882.2</v>
      </c>
      <c r="J422" s="161">
        <f t="shared" si="84"/>
        <v>99.0685</v>
      </c>
      <c r="K422" s="272"/>
      <c r="L422" s="197"/>
      <c r="M422" s="168"/>
    </row>
    <row r="423" spans="1:13" s="17" customFormat="1" ht="11.25">
      <c r="A423" s="36"/>
      <c r="B423" s="36"/>
      <c r="C423" s="31">
        <v>3020</v>
      </c>
      <c r="D423" s="32" t="s">
        <v>112</v>
      </c>
      <c r="E423" s="241">
        <v>8500</v>
      </c>
      <c r="F423" s="198">
        <v>2285.25</v>
      </c>
      <c r="G423" s="161">
        <f t="shared" si="81"/>
        <v>26.88529411764706</v>
      </c>
      <c r="H423" s="265">
        <f t="shared" si="82"/>
        <v>8500</v>
      </c>
      <c r="I423" s="193">
        <f t="shared" si="83"/>
        <v>2285.25</v>
      </c>
      <c r="J423" s="161">
        <f t="shared" si="84"/>
        <v>26.88529411764706</v>
      </c>
      <c r="K423" s="273"/>
      <c r="L423" s="198"/>
      <c r="M423" s="168"/>
    </row>
    <row r="424" spans="1:13" s="17" customFormat="1" ht="11.25">
      <c r="A424" s="36"/>
      <c r="B424" s="36"/>
      <c r="C424" s="31">
        <v>4010</v>
      </c>
      <c r="D424" s="32" t="s">
        <v>41</v>
      </c>
      <c r="E424" s="241">
        <v>33401</v>
      </c>
      <c r="F424" s="198">
        <v>30985.15</v>
      </c>
      <c r="G424" s="161">
        <f t="shared" si="81"/>
        <v>92.76713272057722</v>
      </c>
      <c r="H424" s="265">
        <f t="shared" si="82"/>
        <v>33401</v>
      </c>
      <c r="I424" s="193">
        <f t="shared" si="83"/>
        <v>30985.15</v>
      </c>
      <c r="J424" s="161">
        <f t="shared" si="84"/>
        <v>92.76713272057722</v>
      </c>
      <c r="K424" s="273"/>
      <c r="L424" s="198"/>
      <c r="M424" s="168"/>
    </row>
    <row r="425" spans="1:13" s="17" customFormat="1" ht="11.25">
      <c r="A425" s="36"/>
      <c r="B425" s="36"/>
      <c r="C425" s="31">
        <v>4040</v>
      </c>
      <c r="D425" s="32" t="s">
        <v>42</v>
      </c>
      <c r="E425" s="241">
        <v>2559</v>
      </c>
      <c r="F425" s="198">
        <v>2557.33</v>
      </c>
      <c r="G425" s="161">
        <f t="shared" si="81"/>
        <v>99.9347401328644</v>
      </c>
      <c r="H425" s="265">
        <f t="shared" si="82"/>
        <v>2559</v>
      </c>
      <c r="I425" s="193">
        <f t="shared" si="83"/>
        <v>2557.33</v>
      </c>
      <c r="J425" s="161">
        <f t="shared" si="84"/>
        <v>99.9347401328644</v>
      </c>
      <c r="K425" s="273"/>
      <c r="L425" s="198"/>
      <c r="M425" s="168"/>
    </row>
    <row r="426" spans="1:13" s="17" customFormat="1" ht="11.25">
      <c r="A426" s="36"/>
      <c r="B426" s="36"/>
      <c r="C426" s="31">
        <v>4110</v>
      </c>
      <c r="D426" s="313" t="s">
        <v>43</v>
      </c>
      <c r="E426" s="241">
        <v>6200</v>
      </c>
      <c r="F426" s="198">
        <v>5922.74</v>
      </c>
      <c r="G426" s="161">
        <f t="shared" si="81"/>
        <v>95.52806451612904</v>
      </c>
      <c r="H426" s="265">
        <f t="shared" si="82"/>
        <v>6200</v>
      </c>
      <c r="I426" s="193">
        <f t="shared" si="83"/>
        <v>5922.74</v>
      </c>
      <c r="J426" s="161">
        <f t="shared" si="84"/>
        <v>95.52806451612904</v>
      </c>
      <c r="K426" s="273"/>
      <c r="L426" s="198"/>
      <c r="M426" s="168"/>
    </row>
    <row r="427" spans="1:13" s="17" customFormat="1" ht="11.25">
      <c r="A427" s="36"/>
      <c r="B427" s="36"/>
      <c r="C427" s="31">
        <v>4120</v>
      </c>
      <c r="D427" s="313" t="s">
        <v>34</v>
      </c>
      <c r="E427" s="241">
        <v>910</v>
      </c>
      <c r="F427" s="193">
        <v>821.83</v>
      </c>
      <c r="G427" s="161">
        <f t="shared" si="81"/>
        <v>90.310989010989</v>
      </c>
      <c r="H427" s="265">
        <f t="shared" si="82"/>
        <v>910</v>
      </c>
      <c r="I427" s="193">
        <f t="shared" si="83"/>
        <v>821.83</v>
      </c>
      <c r="J427" s="161">
        <f t="shared" si="84"/>
        <v>90.310989010989</v>
      </c>
      <c r="K427" s="265"/>
      <c r="L427" s="193"/>
      <c r="M427" s="168"/>
    </row>
    <row r="428" spans="1:13" s="17" customFormat="1" ht="11.25">
      <c r="A428" s="36"/>
      <c r="B428" s="36"/>
      <c r="C428" s="19">
        <v>4170</v>
      </c>
      <c r="D428" s="21" t="s">
        <v>114</v>
      </c>
      <c r="E428" s="246">
        <v>1000</v>
      </c>
      <c r="F428" s="192">
        <v>0</v>
      </c>
      <c r="G428" s="162">
        <f t="shared" si="81"/>
        <v>0</v>
      </c>
      <c r="H428" s="264">
        <f t="shared" si="82"/>
        <v>1000</v>
      </c>
      <c r="I428" s="192">
        <f t="shared" si="83"/>
        <v>0</v>
      </c>
      <c r="J428" s="162">
        <f t="shared" si="84"/>
        <v>0</v>
      </c>
      <c r="K428" s="264"/>
      <c r="L428" s="192"/>
      <c r="M428" s="177"/>
    </row>
    <row r="429" spans="1:13" s="17" customFormat="1" ht="11.25">
      <c r="A429" s="36"/>
      <c r="B429" s="36"/>
      <c r="C429" s="31">
        <v>4210</v>
      </c>
      <c r="D429" s="32" t="s">
        <v>73</v>
      </c>
      <c r="E429" s="241">
        <v>6000</v>
      </c>
      <c r="F429" s="193">
        <v>4587.05</v>
      </c>
      <c r="G429" s="161">
        <f t="shared" si="81"/>
        <v>76.45083333333334</v>
      </c>
      <c r="H429" s="265">
        <f t="shared" si="82"/>
        <v>6000</v>
      </c>
      <c r="I429" s="193">
        <f t="shared" si="83"/>
        <v>4587.05</v>
      </c>
      <c r="J429" s="161">
        <f t="shared" si="84"/>
        <v>76.45083333333334</v>
      </c>
      <c r="K429" s="265"/>
      <c r="L429" s="193"/>
      <c r="M429" s="168"/>
    </row>
    <row r="430" spans="1:13" s="17" customFormat="1" ht="21">
      <c r="A430" s="36"/>
      <c r="B430" s="36"/>
      <c r="C430" s="19">
        <v>4240</v>
      </c>
      <c r="D430" s="21" t="s">
        <v>60</v>
      </c>
      <c r="E430" s="246">
        <v>11000</v>
      </c>
      <c r="F430" s="192">
        <v>9899.21</v>
      </c>
      <c r="G430" s="162">
        <f t="shared" si="81"/>
        <v>89.99281818181817</v>
      </c>
      <c r="H430" s="264">
        <f t="shared" si="82"/>
        <v>11000</v>
      </c>
      <c r="I430" s="192">
        <f t="shared" si="83"/>
        <v>9899.21</v>
      </c>
      <c r="J430" s="162">
        <f t="shared" si="84"/>
        <v>89.99281818181817</v>
      </c>
      <c r="K430" s="264"/>
      <c r="L430" s="192"/>
      <c r="M430" s="177"/>
    </row>
    <row r="431" spans="1:13" s="17" customFormat="1" ht="11.25">
      <c r="A431" s="36"/>
      <c r="B431" s="36"/>
      <c r="C431" s="31">
        <v>4270</v>
      </c>
      <c r="D431" s="32" t="s">
        <v>65</v>
      </c>
      <c r="E431" s="241">
        <v>500</v>
      </c>
      <c r="F431" s="193">
        <v>500</v>
      </c>
      <c r="G431" s="161">
        <f t="shared" si="81"/>
        <v>100</v>
      </c>
      <c r="H431" s="265">
        <f t="shared" si="82"/>
        <v>500</v>
      </c>
      <c r="I431" s="193">
        <f t="shared" si="83"/>
        <v>500</v>
      </c>
      <c r="J431" s="161">
        <f t="shared" si="84"/>
        <v>100</v>
      </c>
      <c r="K431" s="265"/>
      <c r="L431" s="193"/>
      <c r="M431" s="168"/>
    </row>
    <row r="432" spans="1:13" s="17" customFormat="1" ht="11.25">
      <c r="A432" s="36"/>
      <c r="B432" s="36"/>
      <c r="C432" s="19">
        <v>4300</v>
      </c>
      <c r="D432" s="21" t="s">
        <v>39</v>
      </c>
      <c r="E432" s="246">
        <v>1000</v>
      </c>
      <c r="F432" s="192">
        <v>411.95</v>
      </c>
      <c r="G432" s="162">
        <f t="shared" si="81"/>
        <v>41.195</v>
      </c>
      <c r="H432" s="264">
        <f>E432</f>
        <v>1000</v>
      </c>
      <c r="I432" s="192">
        <f t="shared" si="83"/>
        <v>411.95</v>
      </c>
      <c r="J432" s="162">
        <f t="shared" si="84"/>
        <v>41.195</v>
      </c>
      <c r="K432" s="264"/>
      <c r="L432" s="192"/>
      <c r="M432" s="177"/>
    </row>
    <row r="433" spans="1:13" s="17" customFormat="1" ht="21">
      <c r="A433" s="36"/>
      <c r="B433" s="36"/>
      <c r="C433" s="31">
        <v>4440</v>
      </c>
      <c r="D433" s="32" t="s">
        <v>63</v>
      </c>
      <c r="E433" s="241">
        <v>18143</v>
      </c>
      <c r="F433" s="193">
        <v>18143</v>
      </c>
      <c r="G433" s="161">
        <f>F433*100/E433</f>
        <v>100</v>
      </c>
      <c r="H433" s="265">
        <f>E433</f>
        <v>18143</v>
      </c>
      <c r="I433" s="193">
        <f>F433</f>
        <v>18143</v>
      </c>
      <c r="J433" s="161">
        <f>I433*100/H433</f>
        <v>100</v>
      </c>
      <c r="K433" s="265"/>
      <c r="L433" s="193"/>
      <c r="M433" s="168"/>
    </row>
    <row r="434" spans="1:13" s="17" customFormat="1" ht="21">
      <c r="A434" s="46"/>
      <c r="B434" s="46"/>
      <c r="C434" s="41">
        <v>4700</v>
      </c>
      <c r="D434" s="42" t="s">
        <v>140</v>
      </c>
      <c r="E434" s="244">
        <v>2000</v>
      </c>
      <c r="F434" s="190">
        <v>1500</v>
      </c>
      <c r="G434" s="160">
        <f t="shared" si="81"/>
        <v>75</v>
      </c>
      <c r="H434" s="266">
        <f t="shared" si="82"/>
        <v>2000</v>
      </c>
      <c r="I434" s="190">
        <f t="shared" si="83"/>
        <v>1500</v>
      </c>
      <c r="J434" s="160">
        <f t="shared" si="84"/>
        <v>75</v>
      </c>
      <c r="K434" s="266"/>
      <c r="L434" s="190"/>
      <c r="M434" s="176"/>
    </row>
    <row r="435" spans="1:13" s="17" customFormat="1" ht="63">
      <c r="A435" s="121"/>
      <c r="B435" s="121">
        <v>80150</v>
      </c>
      <c r="C435" s="121"/>
      <c r="D435" s="78" t="s">
        <v>213</v>
      </c>
      <c r="E435" s="248">
        <f>SUM(E436:E449)</f>
        <v>4454037</v>
      </c>
      <c r="F435" s="195">
        <f>SUM(F436:F449)</f>
        <v>4433949.249999999</v>
      </c>
      <c r="G435" s="141">
        <f>F435*100/E435</f>
        <v>99.54899903166495</v>
      </c>
      <c r="H435" s="248">
        <f>SUM(H436:H449)</f>
        <v>4454037</v>
      </c>
      <c r="I435" s="195">
        <f>SUM(I436:I449)</f>
        <v>4433949.249999999</v>
      </c>
      <c r="J435" s="141">
        <f>I435*100/H435</f>
        <v>99.54899903166495</v>
      </c>
      <c r="K435" s="248"/>
      <c r="L435" s="195"/>
      <c r="M435" s="141"/>
    </row>
    <row r="436" spans="1:13" s="17" customFormat="1" ht="21">
      <c r="A436" s="491"/>
      <c r="B436" s="491"/>
      <c r="C436" s="130">
        <v>2540</v>
      </c>
      <c r="D436" s="276" t="s">
        <v>137</v>
      </c>
      <c r="E436" s="492">
        <v>1790500</v>
      </c>
      <c r="F436" s="493">
        <v>1789175.57</v>
      </c>
      <c r="G436" s="494">
        <f aca="true" t="shared" si="85" ref="G436:G449">F436*100/E436</f>
        <v>99.92603015917342</v>
      </c>
      <c r="H436" s="495">
        <f aca="true" t="shared" si="86" ref="H436:H449">E436</f>
        <v>1790500</v>
      </c>
      <c r="I436" s="496">
        <f aca="true" t="shared" si="87" ref="I436:I449">F436</f>
        <v>1789175.57</v>
      </c>
      <c r="J436" s="494">
        <f aca="true" t="shared" si="88" ref="J436:J449">I436*100/H436</f>
        <v>99.92603015917342</v>
      </c>
      <c r="K436" s="497"/>
      <c r="L436" s="493"/>
      <c r="M436" s="281"/>
    </row>
    <row r="437" spans="1:13" s="17" customFormat="1" ht="42">
      <c r="A437" s="36"/>
      <c r="B437" s="36"/>
      <c r="C437" s="19">
        <v>2590</v>
      </c>
      <c r="D437" s="116" t="s">
        <v>211</v>
      </c>
      <c r="E437" s="246">
        <v>100000</v>
      </c>
      <c r="F437" s="192">
        <v>98234.76</v>
      </c>
      <c r="G437" s="162">
        <f t="shared" si="85"/>
        <v>98.23476</v>
      </c>
      <c r="H437" s="264">
        <f t="shared" si="86"/>
        <v>100000</v>
      </c>
      <c r="I437" s="192">
        <f t="shared" si="87"/>
        <v>98234.76</v>
      </c>
      <c r="J437" s="162">
        <f t="shared" si="88"/>
        <v>98.23476</v>
      </c>
      <c r="K437" s="264"/>
      <c r="L437" s="192"/>
      <c r="M437" s="177"/>
    </row>
    <row r="438" spans="1:13" s="17" customFormat="1" ht="11.25">
      <c r="A438" s="36"/>
      <c r="B438" s="36"/>
      <c r="C438" s="31">
        <v>3020</v>
      </c>
      <c r="D438" s="32" t="s">
        <v>112</v>
      </c>
      <c r="E438" s="241">
        <v>132100</v>
      </c>
      <c r="F438" s="198">
        <v>129473.45</v>
      </c>
      <c r="G438" s="161">
        <f t="shared" si="85"/>
        <v>98.01169568508706</v>
      </c>
      <c r="H438" s="265">
        <f t="shared" si="86"/>
        <v>132100</v>
      </c>
      <c r="I438" s="193">
        <f t="shared" si="87"/>
        <v>129473.45</v>
      </c>
      <c r="J438" s="161">
        <f t="shared" si="88"/>
        <v>98.01169568508706</v>
      </c>
      <c r="K438" s="273"/>
      <c r="L438" s="198"/>
      <c r="M438" s="168"/>
    </row>
    <row r="439" spans="1:13" s="17" customFormat="1" ht="12" customHeight="1">
      <c r="A439" s="36"/>
      <c r="B439" s="36"/>
      <c r="C439" s="31">
        <v>4010</v>
      </c>
      <c r="D439" s="32" t="s">
        <v>41</v>
      </c>
      <c r="E439" s="241">
        <v>1783104</v>
      </c>
      <c r="F439" s="198">
        <v>1781460.23</v>
      </c>
      <c r="G439" s="161">
        <f t="shared" si="85"/>
        <v>99.90781412637737</v>
      </c>
      <c r="H439" s="265">
        <f t="shared" si="86"/>
        <v>1783104</v>
      </c>
      <c r="I439" s="193">
        <f t="shared" si="87"/>
        <v>1781460.23</v>
      </c>
      <c r="J439" s="161">
        <f t="shared" si="88"/>
        <v>99.90781412637737</v>
      </c>
      <c r="K439" s="273"/>
      <c r="L439" s="198"/>
      <c r="M439" s="168"/>
    </row>
    <row r="440" spans="1:13" s="17" customFormat="1" ht="11.25">
      <c r="A440" s="36"/>
      <c r="B440" s="36"/>
      <c r="C440" s="31">
        <v>4040</v>
      </c>
      <c r="D440" s="32" t="s">
        <v>42</v>
      </c>
      <c r="E440" s="241">
        <v>109896</v>
      </c>
      <c r="F440" s="198">
        <v>109893.38</v>
      </c>
      <c r="G440" s="161">
        <f t="shared" si="85"/>
        <v>99.99761592778627</v>
      </c>
      <c r="H440" s="265">
        <f t="shared" si="86"/>
        <v>109896</v>
      </c>
      <c r="I440" s="193">
        <f t="shared" si="87"/>
        <v>109893.38</v>
      </c>
      <c r="J440" s="161">
        <f t="shared" si="88"/>
        <v>99.99761592778627</v>
      </c>
      <c r="K440" s="273"/>
      <c r="L440" s="198"/>
      <c r="M440" s="168"/>
    </row>
    <row r="441" spans="1:13" s="17" customFormat="1" ht="11.25">
      <c r="A441" s="36"/>
      <c r="B441" s="36"/>
      <c r="C441" s="31">
        <v>4110</v>
      </c>
      <c r="D441" s="32" t="s">
        <v>43</v>
      </c>
      <c r="E441" s="241">
        <v>320000</v>
      </c>
      <c r="F441" s="198">
        <v>319703.54</v>
      </c>
      <c r="G441" s="161">
        <f t="shared" si="85"/>
        <v>99.90735624999999</v>
      </c>
      <c r="H441" s="265">
        <f t="shared" si="86"/>
        <v>320000</v>
      </c>
      <c r="I441" s="193">
        <f t="shared" si="87"/>
        <v>319703.54</v>
      </c>
      <c r="J441" s="161">
        <f t="shared" si="88"/>
        <v>99.90735624999999</v>
      </c>
      <c r="K441" s="273"/>
      <c r="L441" s="198"/>
      <c r="M441" s="168"/>
    </row>
    <row r="442" spans="1:13" s="17" customFormat="1" ht="11.25">
      <c r="A442" s="36"/>
      <c r="B442" s="36"/>
      <c r="C442" s="31">
        <v>4120</v>
      </c>
      <c r="D442" s="32" t="s">
        <v>34</v>
      </c>
      <c r="E442" s="241">
        <v>40000</v>
      </c>
      <c r="F442" s="193">
        <v>39285.14</v>
      </c>
      <c r="G442" s="161">
        <f t="shared" si="85"/>
        <v>98.21285</v>
      </c>
      <c r="H442" s="265">
        <f t="shared" si="86"/>
        <v>40000</v>
      </c>
      <c r="I442" s="193">
        <f t="shared" si="87"/>
        <v>39285.14</v>
      </c>
      <c r="J442" s="161">
        <f t="shared" si="88"/>
        <v>98.21285</v>
      </c>
      <c r="K442" s="265"/>
      <c r="L442" s="193"/>
      <c r="M442" s="168"/>
    </row>
    <row r="443" spans="1:13" s="17" customFormat="1" ht="11.25">
      <c r="A443" s="36"/>
      <c r="B443" s="36"/>
      <c r="C443" s="31">
        <v>4170</v>
      </c>
      <c r="D443" s="32" t="s">
        <v>114</v>
      </c>
      <c r="E443" s="241">
        <v>1000</v>
      </c>
      <c r="F443" s="193">
        <v>500</v>
      </c>
      <c r="G443" s="161">
        <f t="shared" si="85"/>
        <v>50</v>
      </c>
      <c r="H443" s="265">
        <f t="shared" si="86"/>
        <v>1000</v>
      </c>
      <c r="I443" s="193">
        <f t="shared" si="87"/>
        <v>500</v>
      </c>
      <c r="J443" s="161">
        <f t="shared" si="88"/>
        <v>50</v>
      </c>
      <c r="K443" s="265"/>
      <c r="L443" s="193"/>
      <c r="M443" s="168"/>
    </row>
    <row r="444" spans="1:13" s="17" customFormat="1" ht="11.25">
      <c r="A444" s="36"/>
      <c r="B444" s="36"/>
      <c r="C444" s="31">
        <v>4210</v>
      </c>
      <c r="D444" s="32" t="s">
        <v>73</v>
      </c>
      <c r="E444" s="241">
        <v>13400</v>
      </c>
      <c r="F444" s="193">
        <v>12391.51</v>
      </c>
      <c r="G444" s="161">
        <f t="shared" si="85"/>
        <v>92.4739552238806</v>
      </c>
      <c r="H444" s="265">
        <f t="shared" si="86"/>
        <v>13400</v>
      </c>
      <c r="I444" s="193">
        <f t="shared" si="87"/>
        <v>12391.51</v>
      </c>
      <c r="J444" s="161">
        <f t="shared" si="88"/>
        <v>92.4739552238806</v>
      </c>
      <c r="K444" s="265"/>
      <c r="L444" s="193"/>
      <c r="M444" s="168"/>
    </row>
    <row r="445" spans="1:13" s="17" customFormat="1" ht="11.25">
      <c r="A445" s="36"/>
      <c r="B445" s="36"/>
      <c r="C445" s="31">
        <v>4240</v>
      </c>
      <c r="D445" s="525" t="s">
        <v>252</v>
      </c>
      <c r="E445" s="241">
        <v>50600</v>
      </c>
      <c r="F445" s="193">
        <v>46843.37</v>
      </c>
      <c r="G445" s="161">
        <f t="shared" si="85"/>
        <v>92.5758300395257</v>
      </c>
      <c r="H445" s="265">
        <f t="shared" si="86"/>
        <v>50600</v>
      </c>
      <c r="I445" s="193">
        <f t="shared" si="87"/>
        <v>46843.37</v>
      </c>
      <c r="J445" s="161">
        <f t="shared" si="88"/>
        <v>92.5758300395257</v>
      </c>
      <c r="K445" s="265"/>
      <c r="L445" s="193"/>
      <c r="M445" s="168"/>
    </row>
    <row r="446" spans="1:13" s="17" customFormat="1" ht="11.25">
      <c r="A446" s="36"/>
      <c r="B446" s="36"/>
      <c r="C446" s="31">
        <v>4270</v>
      </c>
      <c r="D446" s="32" t="s">
        <v>65</v>
      </c>
      <c r="E446" s="241">
        <v>1000</v>
      </c>
      <c r="F446" s="193">
        <v>300</v>
      </c>
      <c r="G446" s="161">
        <f t="shared" si="85"/>
        <v>30</v>
      </c>
      <c r="H446" s="265">
        <f t="shared" si="86"/>
        <v>1000</v>
      </c>
      <c r="I446" s="193">
        <f t="shared" si="87"/>
        <v>300</v>
      </c>
      <c r="J446" s="161">
        <f t="shared" si="88"/>
        <v>30</v>
      </c>
      <c r="K446" s="265"/>
      <c r="L446" s="193"/>
      <c r="M446" s="168"/>
    </row>
    <row r="447" spans="1:13" s="16" customFormat="1" ht="11.25">
      <c r="A447" s="36"/>
      <c r="B447" s="36"/>
      <c r="C447" s="31">
        <v>4300</v>
      </c>
      <c r="D447" s="32" t="s">
        <v>39</v>
      </c>
      <c r="E447" s="241">
        <v>11000</v>
      </c>
      <c r="F447" s="193">
        <v>7663.22</v>
      </c>
      <c r="G447" s="161">
        <f t="shared" si="85"/>
        <v>69.66563636363637</v>
      </c>
      <c r="H447" s="265">
        <f t="shared" si="86"/>
        <v>11000</v>
      </c>
      <c r="I447" s="193">
        <f t="shared" si="87"/>
        <v>7663.22</v>
      </c>
      <c r="J447" s="161">
        <f t="shared" si="88"/>
        <v>69.66563636363637</v>
      </c>
      <c r="K447" s="265"/>
      <c r="L447" s="193"/>
      <c r="M447" s="168"/>
    </row>
    <row r="448" spans="1:13" s="16" customFormat="1" ht="21">
      <c r="A448" s="36"/>
      <c r="B448" s="36"/>
      <c r="C448" s="31">
        <v>4440</v>
      </c>
      <c r="D448" s="32" t="s">
        <v>63</v>
      </c>
      <c r="E448" s="241">
        <v>91437</v>
      </c>
      <c r="F448" s="193">
        <v>91437</v>
      </c>
      <c r="G448" s="161">
        <f t="shared" si="85"/>
        <v>100</v>
      </c>
      <c r="H448" s="265">
        <f t="shared" si="86"/>
        <v>91437</v>
      </c>
      <c r="I448" s="193">
        <f t="shared" si="87"/>
        <v>91437</v>
      </c>
      <c r="J448" s="161">
        <f t="shared" si="88"/>
        <v>100</v>
      </c>
      <c r="K448" s="265"/>
      <c r="L448" s="193"/>
      <c r="M448" s="168"/>
    </row>
    <row r="449" spans="1:13" s="16" customFormat="1" ht="21">
      <c r="A449" s="46"/>
      <c r="B449" s="46"/>
      <c r="C449" s="41">
        <v>4700</v>
      </c>
      <c r="D449" s="42" t="s">
        <v>140</v>
      </c>
      <c r="E449" s="244">
        <v>10000</v>
      </c>
      <c r="F449" s="190">
        <v>7588.08</v>
      </c>
      <c r="G449" s="160">
        <f t="shared" si="85"/>
        <v>75.8808</v>
      </c>
      <c r="H449" s="266">
        <f t="shared" si="86"/>
        <v>10000</v>
      </c>
      <c r="I449" s="190">
        <f t="shared" si="87"/>
        <v>7588.08</v>
      </c>
      <c r="J449" s="160">
        <f t="shared" si="88"/>
        <v>75.8808</v>
      </c>
      <c r="K449" s="266"/>
      <c r="L449" s="190"/>
      <c r="M449" s="176"/>
    </row>
    <row r="450" spans="1:13" s="16" customFormat="1" ht="106.5" customHeight="1">
      <c r="A450" s="105"/>
      <c r="B450" s="105">
        <v>80152</v>
      </c>
      <c r="C450" s="105"/>
      <c r="D450" s="107" t="s">
        <v>275</v>
      </c>
      <c r="E450" s="240">
        <f>SUM(E451:E455)</f>
        <v>161200</v>
      </c>
      <c r="F450" s="108">
        <f>SUM(F451:F455)</f>
        <v>135867.36000000002</v>
      </c>
      <c r="G450" s="156">
        <f aca="true" t="shared" si="89" ref="G450:G466">F450*100/E450</f>
        <v>84.28496277915634</v>
      </c>
      <c r="H450" s="240">
        <f>SUM(H451:H455)</f>
        <v>161200</v>
      </c>
      <c r="I450" s="108">
        <f>SUM(I451:I455)</f>
        <v>135867.36000000002</v>
      </c>
      <c r="J450" s="156">
        <f>I450*100/H450</f>
        <v>84.28496277915634</v>
      </c>
      <c r="K450" s="240"/>
      <c r="L450" s="108"/>
      <c r="M450" s="156"/>
    </row>
    <row r="451" spans="1:13" s="16" customFormat="1" ht="21">
      <c r="A451" s="36"/>
      <c r="B451" s="36"/>
      <c r="C451" s="31">
        <v>2540</v>
      </c>
      <c r="D451" s="32" t="s">
        <v>100</v>
      </c>
      <c r="E451" s="241">
        <v>80000</v>
      </c>
      <c r="F451" s="193">
        <v>60478.48</v>
      </c>
      <c r="G451" s="161">
        <f t="shared" si="89"/>
        <v>75.5981</v>
      </c>
      <c r="H451" s="265">
        <f aca="true" t="shared" si="90" ref="H451:H465">E451</f>
        <v>80000</v>
      </c>
      <c r="I451" s="193">
        <f aca="true" t="shared" si="91" ref="I451:I465">F451</f>
        <v>60478.48</v>
      </c>
      <c r="J451" s="161">
        <f aca="true" t="shared" si="92" ref="J451:J465">G451</f>
        <v>75.5981</v>
      </c>
      <c r="K451" s="265"/>
      <c r="L451" s="193"/>
      <c r="M451" s="168"/>
    </row>
    <row r="452" spans="1:13" s="16" customFormat="1" ht="11.25">
      <c r="A452" s="36"/>
      <c r="B452" s="36"/>
      <c r="C452" s="31">
        <v>3020</v>
      </c>
      <c r="D452" s="32" t="s">
        <v>230</v>
      </c>
      <c r="E452" s="241">
        <v>8000</v>
      </c>
      <c r="F452" s="193">
        <v>3015.55</v>
      </c>
      <c r="G452" s="161">
        <f t="shared" si="89"/>
        <v>37.694375</v>
      </c>
      <c r="H452" s="265">
        <f t="shared" si="90"/>
        <v>8000</v>
      </c>
      <c r="I452" s="193">
        <f t="shared" si="91"/>
        <v>3015.55</v>
      </c>
      <c r="J452" s="161">
        <f t="shared" si="92"/>
        <v>37.694375</v>
      </c>
      <c r="K452" s="265"/>
      <c r="L452" s="193"/>
      <c r="M452" s="168"/>
    </row>
    <row r="453" spans="1:13" s="16" customFormat="1" ht="11.25">
      <c r="A453" s="36"/>
      <c r="B453" s="36"/>
      <c r="C453" s="31">
        <v>4010</v>
      </c>
      <c r="D453" s="32" t="s">
        <v>231</v>
      </c>
      <c r="E453" s="241">
        <v>60500</v>
      </c>
      <c r="F453" s="193">
        <v>60357.4</v>
      </c>
      <c r="G453" s="161">
        <f t="shared" si="89"/>
        <v>99.76429752066116</v>
      </c>
      <c r="H453" s="265">
        <f t="shared" si="90"/>
        <v>60500</v>
      </c>
      <c r="I453" s="193">
        <f t="shared" si="91"/>
        <v>60357.4</v>
      </c>
      <c r="J453" s="161">
        <f t="shared" si="92"/>
        <v>99.76429752066116</v>
      </c>
      <c r="K453" s="265"/>
      <c r="L453" s="193"/>
      <c r="M453" s="168"/>
    </row>
    <row r="454" spans="1:13" s="16" customFormat="1" ht="11.25">
      <c r="A454" s="36"/>
      <c r="B454" s="36"/>
      <c r="C454" s="31">
        <v>4110</v>
      </c>
      <c r="D454" s="32" t="s">
        <v>104</v>
      </c>
      <c r="E454" s="241">
        <v>11000</v>
      </c>
      <c r="F454" s="193">
        <v>10516.99</v>
      </c>
      <c r="G454" s="161">
        <f t="shared" si="89"/>
        <v>95.609</v>
      </c>
      <c r="H454" s="265">
        <f t="shared" si="90"/>
        <v>11000</v>
      </c>
      <c r="I454" s="193">
        <f t="shared" si="91"/>
        <v>10516.99</v>
      </c>
      <c r="J454" s="161">
        <f t="shared" si="92"/>
        <v>95.609</v>
      </c>
      <c r="K454" s="265"/>
      <c r="L454" s="193"/>
      <c r="M454" s="168"/>
    </row>
    <row r="455" spans="1:13" s="16" customFormat="1" ht="11.25">
      <c r="A455" s="46"/>
      <c r="B455" s="46"/>
      <c r="C455" s="41">
        <v>4120</v>
      </c>
      <c r="D455" s="42" t="s">
        <v>270</v>
      </c>
      <c r="E455" s="244">
        <v>1700</v>
      </c>
      <c r="F455" s="190">
        <v>1498.94</v>
      </c>
      <c r="G455" s="160">
        <f t="shared" si="89"/>
        <v>88.17294117647059</v>
      </c>
      <c r="H455" s="266">
        <f t="shared" si="90"/>
        <v>1700</v>
      </c>
      <c r="I455" s="190">
        <f t="shared" si="91"/>
        <v>1498.94</v>
      </c>
      <c r="J455" s="160">
        <f t="shared" si="92"/>
        <v>88.17294117647059</v>
      </c>
      <c r="K455" s="266"/>
      <c r="L455" s="190"/>
      <c r="M455" s="176"/>
    </row>
    <row r="456" spans="1:13" s="16" customFormat="1" ht="39.75" customHeight="1">
      <c r="A456" s="110"/>
      <c r="B456" s="110">
        <v>80153</v>
      </c>
      <c r="C456" s="110"/>
      <c r="D456" s="112" t="s">
        <v>276</v>
      </c>
      <c r="E456" s="243">
        <f>SUM(E457:E461)</f>
        <v>494626</v>
      </c>
      <c r="F456" s="196">
        <f>SUM(F457:F461)</f>
        <v>477723.2</v>
      </c>
      <c r="G456" s="165">
        <f t="shared" si="89"/>
        <v>96.58271097758711</v>
      </c>
      <c r="H456" s="243">
        <f t="shared" si="90"/>
        <v>494626</v>
      </c>
      <c r="I456" s="196">
        <f t="shared" si="91"/>
        <v>477723.2</v>
      </c>
      <c r="J456" s="165">
        <f t="shared" si="92"/>
        <v>96.58271097758711</v>
      </c>
      <c r="K456" s="243"/>
      <c r="L456" s="196"/>
      <c r="M456" s="165"/>
    </row>
    <row r="457" spans="1:13" s="16" customFormat="1" ht="42">
      <c r="A457" s="41"/>
      <c r="B457" s="41"/>
      <c r="C457" s="41">
        <v>2830</v>
      </c>
      <c r="D457" s="42" t="s">
        <v>242</v>
      </c>
      <c r="E457" s="244">
        <v>48575</v>
      </c>
      <c r="F457" s="190">
        <v>47350.82</v>
      </c>
      <c r="G457" s="160">
        <f t="shared" si="89"/>
        <v>97.47981471950592</v>
      </c>
      <c r="H457" s="266">
        <f t="shared" si="90"/>
        <v>48575</v>
      </c>
      <c r="I457" s="190">
        <f t="shared" si="91"/>
        <v>47350.82</v>
      </c>
      <c r="J457" s="160">
        <f t="shared" si="92"/>
        <v>97.47981471950592</v>
      </c>
      <c r="K457" s="266"/>
      <c r="L457" s="190"/>
      <c r="M457" s="176"/>
    </row>
    <row r="458" spans="1:13" s="16" customFormat="1" ht="11.25">
      <c r="A458" s="36"/>
      <c r="B458" s="36"/>
      <c r="C458" s="19">
        <v>4110</v>
      </c>
      <c r="D458" s="21" t="s">
        <v>104</v>
      </c>
      <c r="E458" s="246">
        <v>667</v>
      </c>
      <c r="F458" s="192">
        <v>667</v>
      </c>
      <c r="G458" s="162">
        <f t="shared" si="89"/>
        <v>100</v>
      </c>
      <c r="H458" s="264">
        <f t="shared" si="90"/>
        <v>667</v>
      </c>
      <c r="I458" s="192">
        <f t="shared" si="91"/>
        <v>667</v>
      </c>
      <c r="J458" s="162">
        <f t="shared" si="92"/>
        <v>100</v>
      </c>
      <c r="K458" s="264"/>
      <c r="L458" s="192"/>
      <c r="M458" s="177"/>
    </row>
    <row r="459" spans="1:13" s="16" customFormat="1" ht="24.75" customHeight="1">
      <c r="A459" s="36"/>
      <c r="B459" s="36"/>
      <c r="C459" s="31">
        <v>4120</v>
      </c>
      <c r="D459" s="32" t="s">
        <v>277</v>
      </c>
      <c r="E459" s="241">
        <v>101</v>
      </c>
      <c r="F459" s="193">
        <v>98</v>
      </c>
      <c r="G459" s="161">
        <f t="shared" si="89"/>
        <v>97.02970297029702</v>
      </c>
      <c r="H459" s="265">
        <f t="shared" si="90"/>
        <v>101</v>
      </c>
      <c r="I459" s="193">
        <f t="shared" si="91"/>
        <v>98</v>
      </c>
      <c r="J459" s="161">
        <f t="shared" si="92"/>
        <v>97.02970297029702</v>
      </c>
      <c r="K459" s="265"/>
      <c r="L459" s="193"/>
      <c r="M459" s="168"/>
    </row>
    <row r="460" spans="1:13" s="16" customFormat="1" ht="11.25">
      <c r="A460" s="36"/>
      <c r="B460" s="36"/>
      <c r="C460" s="31">
        <v>4170</v>
      </c>
      <c r="D460" s="32" t="s">
        <v>114</v>
      </c>
      <c r="E460" s="241">
        <v>4100</v>
      </c>
      <c r="F460" s="193">
        <v>4000</v>
      </c>
      <c r="G460" s="161">
        <f t="shared" si="89"/>
        <v>97.5609756097561</v>
      </c>
      <c r="H460" s="265">
        <f t="shared" si="90"/>
        <v>4100</v>
      </c>
      <c r="I460" s="193">
        <f t="shared" si="91"/>
        <v>4000</v>
      </c>
      <c r="J460" s="161">
        <f t="shared" si="92"/>
        <v>97.5609756097561</v>
      </c>
      <c r="K460" s="265"/>
      <c r="L460" s="193"/>
      <c r="M460" s="168"/>
    </row>
    <row r="461" spans="1:13" s="16" customFormat="1" ht="11.25">
      <c r="A461" s="36"/>
      <c r="B461" s="36"/>
      <c r="C461" s="31">
        <v>4240</v>
      </c>
      <c r="D461" s="32" t="s">
        <v>252</v>
      </c>
      <c r="E461" s="241">
        <v>441183</v>
      </c>
      <c r="F461" s="193">
        <v>425607.38</v>
      </c>
      <c r="G461" s="161">
        <f t="shared" si="89"/>
        <v>96.46957838357325</v>
      </c>
      <c r="H461" s="265">
        <f t="shared" si="90"/>
        <v>441183</v>
      </c>
      <c r="I461" s="193">
        <f t="shared" si="91"/>
        <v>425607.38</v>
      </c>
      <c r="J461" s="161">
        <f t="shared" si="92"/>
        <v>96.46957838357325</v>
      </c>
      <c r="K461" s="265"/>
      <c r="L461" s="193"/>
      <c r="M461" s="168"/>
    </row>
    <row r="462" spans="1:13" s="16" customFormat="1" ht="11.25">
      <c r="A462" s="105"/>
      <c r="B462" s="105">
        <v>80195</v>
      </c>
      <c r="C462" s="105"/>
      <c r="D462" s="107" t="s">
        <v>6</v>
      </c>
      <c r="E462" s="240">
        <f>SUM(E463:E465)</f>
        <v>16584</v>
      </c>
      <c r="F462" s="108">
        <f>SUM(F463:F465)</f>
        <v>14246.55</v>
      </c>
      <c r="G462" s="156">
        <f t="shared" si="89"/>
        <v>85.90539073806079</v>
      </c>
      <c r="H462" s="240">
        <f t="shared" si="90"/>
        <v>16584</v>
      </c>
      <c r="I462" s="108">
        <f t="shared" si="91"/>
        <v>14246.55</v>
      </c>
      <c r="J462" s="156">
        <f t="shared" si="92"/>
        <v>85.90539073806079</v>
      </c>
      <c r="K462" s="240"/>
      <c r="L462" s="108"/>
      <c r="M462" s="156"/>
    </row>
    <row r="463" spans="1:13" s="16" customFormat="1" ht="21">
      <c r="A463" s="36"/>
      <c r="B463" s="36"/>
      <c r="C463" s="31">
        <v>3040</v>
      </c>
      <c r="D463" s="32" t="s">
        <v>296</v>
      </c>
      <c r="E463" s="241">
        <v>14300</v>
      </c>
      <c r="F463" s="193">
        <v>12000</v>
      </c>
      <c r="G463" s="161">
        <f t="shared" si="89"/>
        <v>83.91608391608392</v>
      </c>
      <c r="H463" s="265">
        <f t="shared" si="90"/>
        <v>14300</v>
      </c>
      <c r="I463" s="193">
        <f t="shared" si="91"/>
        <v>12000</v>
      </c>
      <c r="J463" s="161">
        <f t="shared" si="92"/>
        <v>83.91608391608392</v>
      </c>
      <c r="K463" s="265"/>
      <c r="L463" s="193"/>
      <c r="M463" s="168"/>
    </row>
    <row r="464" spans="1:13" s="16" customFormat="1" ht="11.25">
      <c r="A464" s="36"/>
      <c r="B464" s="36"/>
      <c r="C464" s="31">
        <v>4110</v>
      </c>
      <c r="D464" s="32" t="s">
        <v>104</v>
      </c>
      <c r="E464" s="241">
        <v>2100</v>
      </c>
      <c r="F464" s="193">
        <v>2062.8</v>
      </c>
      <c r="G464" s="161">
        <f t="shared" si="89"/>
        <v>98.22857142857144</v>
      </c>
      <c r="H464" s="265">
        <f t="shared" si="90"/>
        <v>2100</v>
      </c>
      <c r="I464" s="193">
        <f t="shared" si="91"/>
        <v>2062.8</v>
      </c>
      <c r="J464" s="161">
        <f t="shared" si="92"/>
        <v>98.22857142857144</v>
      </c>
      <c r="K464" s="265"/>
      <c r="L464" s="193"/>
      <c r="M464" s="168"/>
    </row>
    <row r="465" spans="1:13" s="16" customFormat="1" ht="30.75" customHeight="1">
      <c r="A465" s="36"/>
      <c r="B465" s="36"/>
      <c r="C465" s="31">
        <v>4120</v>
      </c>
      <c r="D465" s="34" t="s">
        <v>277</v>
      </c>
      <c r="E465" s="244">
        <v>184</v>
      </c>
      <c r="F465" s="190">
        <v>183.75</v>
      </c>
      <c r="G465" s="161">
        <f t="shared" si="89"/>
        <v>99.86413043478261</v>
      </c>
      <c r="H465" s="265">
        <f t="shared" si="90"/>
        <v>184</v>
      </c>
      <c r="I465" s="190">
        <f t="shared" si="91"/>
        <v>183.75</v>
      </c>
      <c r="J465" s="161">
        <f t="shared" si="92"/>
        <v>99.86413043478261</v>
      </c>
      <c r="K465" s="265"/>
      <c r="L465" s="193"/>
      <c r="M465" s="168"/>
    </row>
    <row r="466" spans="1:13" s="16" customFormat="1" ht="16.5" customHeight="1">
      <c r="A466" s="66">
        <v>851</v>
      </c>
      <c r="B466" s="66"/>
      <c r="C466" s="66"/>
      <c r="D466" s="67" t="s">
        <v>66</v>
      </c>
      <c r="E466" s="287">
        <f>E467+E469+E476+E486</f>
        <v>729857</v>
      </c>
      <c r="F466" s="288">
        <f>F467+F469+F476+F486</f>
        <v>671034.4500000001</v>
      </c>
      <c r="G466" s="69">
        <f t="shared" si="89"/>
        <v>91.94053766696764</v>
      </c>
      <c r="H466" s="68">
        <f>H467+H469+H476+H486</f>
        <v>729857</v>
      </c>
      <c r="I466" s="288">
        <f>I467+I469+I476+I486</f>
        <v>671034.4500000001</v>
      </c>
      <c r="J466" s="69">
        <f>I466*100/H466</f>
        <v>91.94053766696764</v>
      </c>
      <c r="K466" s="68"/>
      <c r="L466" s="69"/>
      <c r="M466" s="154"/>
    </row>
    <row r="467" spans="1:13" s="16" customFormat="1" ht="12.75" customHeight="1">
      <c r="A467" s="105"/>
      <c r="B467" s="105">
        <v>85121</v>
      </c>
      <c r="C467" s="105"/>
      <c r="D467" s="107" t="s">
        <v>146</v>
      </c>
      <c r="E467" s="240">
        <f>E468</f>
        <v>82400</v>
      </c>
      <c r="F467" s="108">
        <f>SUM(F468:F468)</f>
        <v>52125</v>
      </c>
      <c r="G467" s="156">
        <f aca="true" t="shared" si="93" ref="G467:G489">F467*100/E467</f>
        <v>63.258495145631066</v>
      </c>
      <c r="H467" s="240">
        <f>E467</f>
        <v>82400</v>
      </c>
      <c r="I467" s="108">
        <f>F467</f>
        <v>52125</v>
      </c>
      <c r="J467" s="156">
        <f aca="true" t="shared" si="94" ref="J467:J485">I467*100/H467</f>
        <v>63.258495145631066</v>
      </c>
      <c r="K467" s="240"/>
      <c r="L467" s="108"/>
      <c r="M467" s="156"/>
    </row>
    <row r="468" spans="1:13" s="16" customFormat="1" ht="11.25">
      <c r="A468" s="117"/>
      <c r="B468" s="117"/>
      <c r="C468" s="33">
        <v>4300</v>
      </c>
      <c r="D468" s="34" t="s">
        <v>92</v>
      </c>
      <c r="E468" s="250">
        <v>82400</v>
      </c>
      <c r="F468" s="200">
        <v>52125</v>
      </c>
      <c r="G468" s="163">
        <f t="shared" si="93"/>
        <v>63.258495145631066</v>
      </c>
      <c r="H468" s="268">
        <f>E468</f>
        <v>82400</v>
      </c>
      <c r="I468" s="199">
        <f>F468</f>
        <v>52125</v>
      </c>
      <c r="J468" s="163">
        <f t="shared" si="94"/>
        <v>63.258495145631066</v>
      </c>
      <c r="K468" s="274"/>
      <c r="L468" s="200"/>
      <c r="M468" s="178"/>
    </row>
    <row r="469" spans="1:13" s="16" customFormat="1" ht="16.5" customHeight="1">
      <c r="A469" s="105"/>
      <c r="B469" s="105">
        <v>85153</v>
      </c>
      <c r="C469" s="105"/>
      <c r="D469" s="107" t="s">
        <v>125</v>
      </c>
      <c r="E469" s="240">
        <f>SUM(E470:E475)</f>
        <v>173500</v>
      </c>
      <c r="F469" s="108">
        <f>SUM(F470:F475)</f>
        <v>170190.53999999998</v>
      </c>
      <c r="G469" s="156">
        <f t="shared" si="93"/>
        <v>98.09253025936597</v>
      </c>
      <c r="H469" s="240">
        <f>SUM(H470:H475)</f>
        <v>173500</v>
      </c>
      <c r="I469" s="108">
        <f>SUM(I470:I475)</f>
        <v>170190.53999999998</v>
      </c>
      <c r="J469" s="156">
        <f t="shared" si="94"/>
        <v>98.09253025936597</v>
      </c>
      <c r="K469" s="240"/>
      <c r="L469" s="108"/>
      <c r="M469" s="156"/>
    </row>
    <row r="470" spans="1:13" s="16" customFormat="1" ht="11.25">
      <c r="A470" s="33"/>
      <c r="B470" s="33"/>
      <c r="C470" s="31">
        <v>4110</v>
      </c>
      <c r="D470" s="32" t="s">
        <v>104</v>
      </c>
      <c r="E470" s="241">
        <v>4998</v>
      </c>
      <c r="F470" s="193">
        <v>4503.83</v>
      </c>
      <c r="G470" s="161">
        <f t="shared" si="93"/>
        <v>90.1126450580232</v>
      </c>
      <c r="H470" s="265">
        <f aca="true" t="shared" si="95" ref="H470:I475">E470</f>
        <v>4998</v>
      </c>
      <c r="I470" s="193">
        <f t="shared" si="95"/>
        <v>4503.83</v>
      </c>
      <c r="J470" s="161">
        <f t="shared" si="94"/>
        <v>90.1126450580232</v>
      </c>
      <c r="K470" s="265"/>
      <c r="L470" s="193"/>
      <c r="M470" s="168"/>
    </row>
    <row r="471" spans="1:13" s="16" customFormat="1" ht="11.25">
      <c r="A471" s="36"/>
      <c r="B471" s="36"/>
      <c r="C471" s="31">
        <v>4120</v>
      </c>
      <c r="D471" s="32" t="s">
        <v>34</v>
      </c>
      <c r="E471" s="241">
        <v>602</v>
      </c>
      <c r="F471" s="193">
        <v>601.51</v>
      </c>
      <c r="G471" s="161">
        <f t="shared" si="93"/>
        <v>99.9186046511628</v>
      </c>
      <c r="H471" s="265">
        <f t="shared" si="95"/>
        <v>602</v>
      </c>
      <c r="I471" s="193">
        <f t="shared" si="95"/>
        <v>601.51</v>
      </c>
      <c r="J471" s="161">
        <f t="shared" si="94"/>
        <v>99.9186046511628</v>
      </c>
      <c r="K471" s="265"/>
      <c r="L471" s="193"/>
      <c r="M471" s="168"/>
    </row>
    <row r="472" spans="1:13" s="16" customFormat="1" ht="11.25">
      <c r="A472" s="36"/>
      <c r="B472" s="36"/>
      <c r="C472" s="31">
        <v>4170</v>
      </c>
      <c r="D472" s="32" t="s">
        <v>114</v>
      </c>
      <c r="E472" s="241">
        <v>120000</v>
      </c>
      <c r="F472" s="193">
        <v>119631.28</v>
      </c>
      <c r="G472" s="161">
        <f t="shared" si="93"/>
        <v>99.69273333333334</v>
      </c>
      <c r="H472" s="265">
        <f t="shared" si="95"/>
        <v>120000</v>
      </c>
      <c r="I472" s="193">
        <f t="shared" si="95"/>
        <v>119631.28</v>
      </c>
      <c r="J472" s="161">
        <f t="shared" si="94"/>
        <v>99.69273333333334</v>
      </c>
      <c r="K472" s="265"/>
      <c r="L472" s="193"/>
      <c r="M472" s="168"/>
    </row>
    <row r="473" spans="1:13" s="16" customFormat="1" ht="11.25">
      <c r="A473" s="36"/>
      <c r="B473" s="36"/>
      <c r="C473" s="31">
        <v>4210</v>
      </c>
      <c r="D473" s="32" t="s">
        <v>35</v>
      </c>
      <c r="E473" s="241">
        <v>5000</v>
      </c>
      <c r="F473" s="193">
        <v>4012.71</v>
      </c>
      <c r="G473" s="161">
        <f t="shared" si="93"/>
        <v>80.2542</v>
      </c>
      <c r="H473" s="265">
        <f t="shared" si="95"/>
        <v>5000</v>
      </c>
      <c r="I473" s="193">
        <f t="shared" si="95"/>
        <v>4012.71</v>
      </c>
      <c r="J473" s="161">
        <f t="shared" si="94"/>
        <v>80.2542</v>
      </c>
      <c r="K473" s="265"/>
      <c r="L473" s="193"/>
      <c r="M473" s="168"/>
    </row>
    <row r="474" spans="1:13" s="16" customFormat="1" ht="11.25">
      <c r="A474" s="36"/>
      <c r="B474" s="36"/>
      <c r="C474" s="31">
        <v>4300</v>
      </c>
      <c r="D474" s="32" t="s">
        <v>123</v>
      </c>
      <c r="E474" s="241">
        <v>40000</v>
      </c>
      <c r="F474" s="193">
        <v>39747.34</v>
      </c>
      <c r="G474" s="161">
        <f t="shared" si="93"/>
        <v>99.36834999999999</v>
      </c>
      <c r="H474" s="265">
        <f t="shared" si="95"/>
        <v>40000</v>
      </c>
      <c r="I474" s="193">
        <f t="shared" si="95"/>
        <v>39747.34</v>
      </c>
      <c r="J474" s="161">
        <f t="shared" si="94"/>
        <v>99.36834999999999</v>
      </c>
      <c r="K474" s="265"/>
      <c r="L474" s="193"/>
      <c r="M474" s="168"/>
    </row>
    <row r="475" spans="1:13" s="16" customFormat="1" ht="13.5" customHeight="1">
      <c r="A475" s="46"/>
      <c r="B475" s="46"/>
      <c r="C475" s="46">
        <v>4360</v>
      </c>
      <c r="D475" s="94" t="s">
        <v>209</v>
      </c>
      <c r="E475" s="247">
        <v>2900</v>
      </c>
      <c r="F475" s="202">
        <v>1693.87</v>
      </c>
      <c r="G475" s="166">
        <f t="shared" si="93"/>
        <v>58.40931034482759</v>
      </c>
      <c r="H475" s="269">
        <f t="shared" si="95"/>
        <v>2900</v>
      </c>
      <c r="I475" s="202">
        <f t="shared" si="95"/>
        <v>1693.87</v>
      </c>
      <c r="J475" s="166">
        <f t="shared" si="94"/>
        <v>58.40931034482759</v>
      </c>
      <c r="K475" s="269"/>
      <c r="L475" s="202"/>
      <c r="M475" s="175"/>
    </row>
    <row r="476" spans="1:13" s="16" customFormat="1" ht="18" customHeight="1">
      <c r="A476" s="121"/>
      <c r="B476" s="121">
        <v>85154</v>
      </c>
      <c r="C476" s="121"/>
      <c r="D476" s="78" t="s">
        <v>67</v>
      </c>
      <c r="E476" s="248">
        <f>SUM(E477:E485)</f>
        <v>454379</v>
      </c>
      <c r="F476" s="195">
        <f>SUM(F477:F485)</f>
        <v>429141.49</v>
      </c>
      <c r="G476" s="141">
        <f t="shared" si="93"/>
        <v>94.44571382040102</v>
      </c>
      <c r="H476" s="248">
        <f>SUM(H477:H485)</f>
        <v>454379</v>
      </c>
      <c r="I476" s="195">
        <f>SUM(I477:I484)</f>
        <v>429141.49</v>
      </c>
      <c r="J476" s="141">
        <f t="shared" si="94"/>
        <v>94.44571382040102</v>
      </c>
      <c r="K476" s="248"/>
      <c r="L476" s="195"/>
      <c r="M476" s="141"/>
    </row>
    <row r="477" spans="1:13" s="16" customFormat="1" ht="42">
      <c r="A477" s="117"/>
      <c r="B477" s="117"/>
      <c r="C477" s="142">
        <v>2360</v>
      </c>
      <c r="D477" s="410" t="s">
        <v>182</v>
      </c>
      <c r="E477" s="522">
        <v>36000</v>
      </c>
      <c r="F477" s="523">
        <v>36000</v>
      </c>
      <c r="G477" s="387">
        <f t="shared" si="93"/>
        <v>100</v>
      </c>
      <c r="H477" s="267">
        <f aca="true" t="shared" si="96" ref="H477:I485">E477</f>
        <v>36000</v>
      </c>
      <c r="I477" s="391">
        <f t="shared" si="96"/>
        <v>36000</v>
      </c>
      <c r="J477" s="387">
        <f t="shared" si="94"/>
        <v>100</v>
      </c>
      <c r="K477" s="524"/>
      <c r="L477" s="523"/>
      <c r="M477" s="389"/>
    </row>
    <row r="478" spans="1:13" s="16" customFormat="1" ht="11.25">
      <c r="A478" s="36"/>
      <c r="B478" s="36"/>
      <c r="C478" s="31">
        <v>4110</v>
      </c>
      <c r="D478" s="32" t="s">
        <v>104</v>
      </c>
      <c r="E478" s="241">
        <v>5000</v>
      </c>
      <c r="F478" s="193">
        <v>4990.3</v>
      </c>
      <c r="G478" s="161">
        <f t="shared" si="93"/>
        <v>99.806</v>
      </c>
      <c r="H478" s="265">
        <f t="shared" si="96"/>
        <v>5000</v>
      </c>
      <c r="I478" s="193">
        <f t="shared" si="96"/>
        <v>4990.3</v>
      </c>
      <c r="J478" s="161">
        <f t="shared" si="94"/>
        <v>99.806</v>
      </c>
      <c r="K478" s="265"/>
      <c r="L478" s="193"/>
      <c r="M478" s="168"/>
    </row>
    <row r="479" spans="1:13" s="16" customFormat="1" ht="11.25">
      <c r="A479" s="36"/>
      <c r="B479" s="36"/>
      <c r="C479" s="31">
        <v>4120</v>
      </c>
      <c r="D479" s="32" t="s">
        <v>34</v>
      </c>
      <c r="E479" s="241">
        <v>1000</v>
      </c>
      <c r="F479" s="193">
        <v>714.2</v>
      </c>
      <c r="G479" s="161">
        <f t="shared" si="93"/>
        <v>71.42</v>
      </c>
      <c r="H479" s="265">
        <f t="shared" si="96"/>
        <v>1000</v>
      </c>
      <c r="I479" s="193">
        <f t="shared" si="96"/>
        <v>714.2</v>
      </c>
      <c r="J479" s="161">
        <f t="shared" si="94"/>
        <v>71.42</v>
      </c>
      <c r="K479" s="265"/>
      <c r="L479" s="193"/>
      <c r="M479" s="168"/>
    </row>
    <row r="480" spans="1:13" s="16" customFormat="1" ht="11.25">
      <c r="A480" s="36"/>
      <c r="B480" s="36"/>
      <c r="C480" s="31">
        <v>4170</v>
      </c>
      <c r="D480" s="32" t="s">
        <v>114</v>
      </c>
      <c r="E480" s="241">
        <v>165500</v>
      </c>
      <c r="F480" s="193">
        <v>161715.34</v>
      </c>
      <c r="G480" s="161">
        <f t="shared" si="93"/>
        <v>97.71319637462236</v>
      </c>
      <c r="H480" s="265">
        <f t="shared" si="96"/>
        <v>165500</v>
      </c>
      <c r="I480" s="193">
        <f t="shared" si="96"/>
        <v>161715.34</v>
      </c>
      <c r="J480" s="161">
        <f t="shared" si="94"/>
        <v>97.71319637462236</v>
      </c>
      <c r="K480" s="265"/>
      <c r="L480" s="193"/>
      <c r="M480" s="168"/>
    </row>
    <row r="481" spans="1:13" s="16" customFormat="1" ht="11.25">
      <c r="A481" s="36"/>
      <c r="B481" s="36"/>
      <c r="C481" s="31">
        <v>4210</v>
      </c>
      <c r="D481" s="32" t="s">
        <v>35</v>
      </c>
      <c r="E481" s="241">
        <v>46000</v>
      </c>
      <c r="F481" s="193">
        <v>32205.52</v>
      </c>
      <c r="G481" s="161">
        <f t="shared" si="93"/>
        <v>70.012</v>
      </c>
      <c r="H481" s="265">
        <f t="shared" si="96"/>
        <v>46000</v>
      </c>
      <c r="I481" s="193">
        <f t="shared" si="96"/>
        <v>32205.52</v>
      </c>
      <c r="J481" s="161">
        <f t="shared" si="94"/>
        <v>70.012</v>
      </c>
      <c r="K481" s="265"/>
      <c r="L481" s="193"/>
      <c r="M481" s="168"/>
    </row>
    <row r="482" spans="1:13" s="16" customFormat="1" ht="11.25">
      <c r="A482" s="36"/>
      <c r="B482" s="36"/>
      <c r="C482" s="31">
        <v>4220</v>
      </c>
      <c r="D482" s="32" t="s">
        <v>228</v>
      </c>
      <c r="E482" s="241">
        <v>20000</v>
      </c>
      <c r="F482" s="193">
        <v>15730.53</v>
      </c>
      <c r="G482" s="161">
        <f t="shared" si="93"/>
        <v>78.65265</v>
      </c>
      <c r="H482" s="265">
        <f t="shared" si="96"/>
        <v>20000</v>
      </c>
      <c r="I482" s="193">
        <f t="shared" si="96"/>
        <v>15730.53</v>
      </c>
      <c r="J482" s="161">
        <f t="shared" si="94"/>
        <v>78.65265</v>
      </c>
      <c r="K482" s="265"/>
      <c r="L482" s="193"/>
      <c r="M482" s="168"/>
    </row>
    <row r="483" spans="1:13" s="16" customFormat="1" ht="11.25">
      <c r="A483" s="36"/>
      <c r="B483" s="36"/>
      <c r="C483" s="31">
        <v>4300</v>
      </c>
      <c r="D483" s="32" t="s">
        <v>123</v>
      </c>
      <c r="E483" s="241">
        <v>177679</v>
      </c>
      <c r="F483" s="193">
        <v>174952.41</v>
      </c>
      <c r="G483" s="161">
        <f t="shared" si="93"/>
        <v>98.46544048536968</v>
      </c>
      <c r="H483" s="265">
        <f t="shared" si="96"/>
        <v>177679</v>
      </c>
      <c r="I483" s="193">
        <f t="shared" si="96"/>
        <v>174952.41</v>
      </c>
      <c r="J483" s="161">
        <f t="shared" si="94"/>
        <v>98.46544048536968</v>
      </c>
      <c r="K483" s="265"/>
      <c r="L483" s="193"/>
      <c r="M483" s="168"/>
    </row>
    <row r="484" spans="1:13" s="16" customFormat="1" ht="13.5" customHeight="1">
      <c r="A484" s="36"/>
      <c r="B484" s="36"/>
      <c r="C484" s="31">
        <v>4360</v>
      </c>
      <c r="D484" s="32" t="s">
        <v>209</v>
      </c>
      <c r="E484" s="241">
        <v>3000</v>
      </c>
      <c r="F484" s="193">
        <v>2833.19</v>
      </c>
      <c r="G484" s="161">
        <f t="shared" si="93"/>
        <v>94.43966666666667</v>
      </c>
      <c r="H484" s="265">
        <f t="shared" si="96"/>
        <v>3000</v>
      </c>
      <c r="I484" s="193">
        <f t="shared" si="96"/>
        <v>2833.19</v>
      </c>
      <c r="J484" s="161">
        <f t="shared" si="94"/>
        <v>94.43966666666667</v>
      </c>
      <c r="K484" s="265"/>
      <c r="L484" s="193"/>
      <c r="M484" s="168"/>
    </row>
    <row r="485" spans="1:13" s="16" customFormat="1" ht="11.25">
      <c r="A485" s="46"/>
      <c r="B485" s="46"/>
      <c r="C485" s="41">
        <v>4410</v>
      </c>
      <c r="D485" s="42" t="s">
        <v>68</v>
      </c>
      <c r="E485" s="244">
        <v>200</v>
      </c>
      <c r="F485" s="190">
        <v>0</v>
      </c>
      <c r="G485" s="160">
        <f t="shared" si="93"/>
        <v>0</v>
      </c>
      <c r="H485" s="266">
        <f t="shared" si="96"/>
        <v>200</v>
      </c>
      <c r="I485" s="190">
        <f t="shared" si="96"/>
        <v>0</v>
      </c>
      <c r="J485" s="160">
        <f t="shared" si="94"/>
        <v>0</v>
      </c>
      <c r="K485" s="266"/>
      <c r="L485" s="190"/>
      <c r="M485" s="176"/>
    </row>
    <row r="486" spans="1:13" s="16" customFormat="1" ht="17.25" customHeight="1">
      <c r="A486" s="105"/>
      <c r="B486" s="105">
        <v>85195</v>
      </c>
      <c r="C486" s="105"/>
      <c r="D486" s="107" t="s">
        <v>6</v>
      </c>
      <c r="E486" s="240">
        <f>E488+E487</f>
        <v>19578</v>
      </c>
      <c r="F486" s="108">
        <f>F488+F487</f>
        <v>19577.42</v>
      </c>
      <c r="G486" s="108">
        <f>F486*100/E486</f>
        <v>99.99703749106138</v>
      </c>
      <c r="H486" s="240">
        <f>H488+H487</f>
        <v>19578</v>
      </c>
      <c r="I486" s="108">
        <f>I488+I487</f>
        <v>19577.42</v>
      </c>
      <c r="J486" s="108">
        <f>I486*100/H486</f>
        <v>99.99703749106138</v>
      </c>
      <c r="K486" s="240"/>
      <c r="L486" s="108"/>
      <c r="M486" s="156"/>
    </row>
    <row r="487" spans="1:13" s="16" customFormat="1" ht="11.25">
      <c r="A487" s="33"/>
      <c r="B487" s="33"/>
      <c r="C487" s="31">
        <v>4210</v>
      </c>
      <c r="D487" s="32" t="s">
        <v>47</v>
      </c>
      <c r="E487" s="265">
        <v>895</v>
      </c>
      <c r="F487" s="193">
        <v>894.5</v>
      </c>
      <c r="G487" s="161">
        <f>F487*100/E487</f>
        <v>99.94413407821229</v>
      </c>
      <c r="H487" s="265">
        <f>E487</f>
        <v>895</v>
      </c>
      <c r="I487" s="193">
        <f>F487</f>
        <v>894.5</v>
      </c>
      <c r="J487" s="161">
        <f>I487*100/H487</f>
        <v>99.94413407821229</v>
      </c>
      <c r="K487" s="265"/>
      <c r="L487" s="193"/>
      <c r="M487" s="168"/>
    </row>
    <row r="488" spans="1:13" s="16" customFormat="1" ht="11.25">
      <c r="A488" s="41"/>
      <c r="B488" s="41"/>
      <c r="C488" s="41">
        <v>4300</v>
      </c>
      <c r="D488" s="42" t="s">
        <v>92</v>
      </c>
      <c r="E488" s="244">
        <v>18683</v>
      </c>
      <c r="F488" s="190">
        <v>18682.92</v>
      </c>
      <c r="G488" s="160">
        <f>F488*100/E488</f>
        <v>99.99957180324358</v>
      </c>
      <c r="H488" s="266">
        <f>E488</f>
        <v>18683</v>
      </c>
      <c r="I488" s="190">
        <f>F488</f>
        <v>18682.92</v>
      </c>
      <c r="J488" s="160">
        <f>I488*100/H488</f>
        <v>99.99957180324358</v>
      </c>
      <c r="K488" s="266"/>
      <c r="L488" s="190"/>
      <c r="M488" s="176"/>
    </row>
    <row r="489" spans="1:13" s="18" customFormat="1" ht="14.25" customHeight="1">
      <c r="A489" s="66">
        <v>852</v>
      </c>
      <c r="B489" s="66"/>
      <c r="C489" s="66"/>
      <c r="D489" s="67" t="s">
        <v>93</v>
      </c>
      <c r="E489" s="287">
        <f>SUM(E490,E492,E496,E499,E502,E524,E521,E531,E519)</f>
        <v>3443206</v>
      </c>
      <c r="F489" s="288">
        <f>SUM(F490,F492,F496,F499,F502,F524,F521,F531,F519)</f>
        <v>3176742.0200000005</v>
      </c>
      <c r="G489" s="154">
        <f t="shared" si="93"/>
        <v>92.26116648263277</v>
      </c>
      <c r="H489" s="69">
        <f>SUM(H490,H492,H496,H499,H502,H524,H521,H531,H519)</f>
        <v>3325627</v>
      </c>
      <c r="I489" s="69">
        <f>SUM(I490,I492,I496,I499,I502,I524,I521,I531,I519)</f>
        <v>3059237.0000000005</v>
      </c>
      <c r="J489" s="154">
        <f>I489*100/H489</f>
        <v>91.98978117509873</v>
      </c>
      <c r="K489" s="69">
        <f>K524</f>
        <v>117579</v>
      </c>
      <c r="L489" s="69">
        <f>L524</f>
        <v>117505.02</v>
      </c>
      <c r="M489" s="154">
        <f>L489*100/K489</f>
        <v>99.93708060112775</v>
      </c>
    </row>
    <row r="490" spans="1:13" s="17" customFormat="1" ht="52.5">
      <c r="A490" s="105"/>
      <c r="B490" s="105">
        <v>85213</v>
      </c>
      <c r="C490" s="105"/>
      <c r="D490" s="118" t="s">
        <v>164</v>
      </c>
      <c r="E490" s="240">
        <f>SUM(E491:E491)</f>
        <v>56951</v>
      </c>
      <c r="F490" s="108">
        <f>SUM(F491:F491)</f>
        <v>53989.3</v>
      </c>
      <c r="G490" s="156">
        <f aca="true" t="shared" si="97" ref="G490:G518">F490*100/E490</f>
        <v>94.79956453793612</v>
      </c>
      <c r="H490" s="240">
        <f>SUM(H491:H491)</f>
        <v>56951</v>
      </c>
      <c r="I490" s="108">
        <f>SUM(I491:I491)</f>
        <v>53989.3</v>
      </c>
      <c r="J490" s="156">
        <f>I490*100/H490</f>
        <v>94.79956453793612</v>
      </c>
      <c r="K490" s="240"/>
      <c r="L490" s="108"/>
      <c r="M490" s="156"/>
    </row>
    <row r="491" spans="1:13" s="17" customFormat="1" ht="21">
      <c r="A491" s="41"/>
      <c r="B491" s="41"/>
      <c r="C491" s="41">
        <v>4130</v>
      </c>
      <c r="D491" s="42" t="s">
        <v>102</v>
      </c>
      <c r="E491" s="244">
        <v>56951</v>
      </c>
      <c r="F491" s="190">
        <v>53989.3</v>
      </c>
      <c r="G491" s="160">
        <f t="shared" si="97"/>
        <v>94.79956453793612</v>
      </c>
      <c r="H491" s="266">
        <f>E491</f>
        <v>56951</v>
      </c>
      <c r="I491" s="190">
        <f>F491</f>
        <v>53989.3</v>
      </c>
      <c r="J491" s="160">
        <f aca="true" t="shared" si="98" ref="J491:J519">I491*100/H491</f>
        <v>94.79956453793612</v>
      </c>
      <c r="K491" s="266"/>
      <c r="L491" s="190"/>
      <c r="M491" s="176"/>
    </row>
    <row r="492" spans="1:13" s="17" customFormat="1" ht="28.5" customHeight="1">
      <c r="A492" s="105"/>
      <c r="B492" s="105">
        <v>85214</v>
      </c>
      <c r="C492" s="105"/>
      <c r="D492" s="118" t="s">
        <v>165</v>
      </c>
      <c r="E492" s="240">
        <f>SUM(E493:E495)</f>
        <v>738760</v>
      </c>
      <c r="F492" s="108">
        <f>SUM(F493:F495)</f>
        <v>687537.1799999999</v>
      </c>
      <c r="G492" s="156">
        <f t="shared" si="97"/>
        <v>93.06637879690292</v>
      </c>
      <c r="H492" s="240">
        <f>SUM(H493:H495)</f>
        <v>738760</v>
      </c>
      <c r="I492" s="108">
        <f>SUM(I493:I495)</f>
        <v>687537.1799999999</v>
      </c>
      <c r="J492" s="156">
        <f>I492*100/H492</f>
        <v>93.06637879690292</v>
      </c>
      <c r="K492" s="240"/>
      <c r="L492" s="108"/>
      <c r="M492" s="156"/>
    </row>
    <row r="493" spans="1:13" s="17" customFormat="1" ht="11.25">
      <c r="A493" s="33"/>
      <c r="B493" s="33"/>
      <c r="C493" s="31">
        <v>3110</v>
      </c>
      <c r="D493" s="32" t="s">
        <v>70</v>
      </c>
      <c r="E493" s="241">
        <v>282660</v>
      </c>
      <c r="F493" s="193">
        <v>257971.21</v>
      </c>
      <c r="G493" s="161">
        <f t="shared" si="97"/>
        <v>91.26555225359088</v>
      </c>
      <c r="H493" s="265">
        <f aca="true" t="shared" si="99" ref="H493:I495">E493</f>
        <v>282660</v>
      </c>
      <c r="I493" s="193">
        <f t="shared" si="99"/>
        <v>257971.21</v>
      </c>
      <c r="J493" s="161">
        <f t="shared" si="98"/>
        <v>91.26555225359088</v>
      </c>
      <c r="K493" s="265"/>
      <c r="L493" s="193"/>
      <c r="M493" s="168"/>
    </row>
    <row r="494" spans="1:13" s="17" customFormat="1" ht="11.25">
      <c r="A494" s="36"/>
      <c r="B494" s="36"/>
      <c r="C494" s="33">
        <v>4300</v>
      </c>
      <c r="D494" s="32" t="s">
        <v>92</v>
      </c>
      <c r="E494" s="241">
        <v>10000</v>
      </c>
      <c r="F494" s="193">
        <v>7273.4</v>
      </c>
      <c r="G494" s="161">
        <f t="shared" si="97"/>
        <v>72.734</v>
      </c>
      <c r="H494" s="265">
        <f t="shared" si="99"/>
        <v>10000</v>
      </c>
      <c r="I494" s="193">
        <f t="shared" si="99"/>
        <v>7273.4</v>
      </c>
      <c r="J494" s="161">
        <f t="shared" si="98"/>
        <v>72.734</v>
      </c>
      <c r="K494" s="338"/>
      <c r="L494" s="338"/>
      <c r="M494" s="323"/>
    </row>
    <row r="495" spans="1:13" s="17" customFormat="1" ht="11.25">
      <c r="A495" s="36"/>
      <c r="B495" s="36"/>
      <c r="C495" s="36">
        <v>4330</v>
      </c>
      <c r="D495" s="34" t="s">
        <v>133</v>
      </c>
      <c r="E495" s="245">
        <v>446100</v>
      </c>
      <c r="F495" s="194">
        <v>422292.57</v>
      </c>
      <c r="G495" s="164">
        <f>F495*100/E495</f>
        <v>94.66320780094149</v>
      </c>
      <c r="H495" s="263">
        <f t="shared" si="99"/>
        <v>446100</v>
      </c>
      <c r="I495" s="194">
        <f t="shared" si="99"/>
        <v>422292.57</v>
      </c>
      <c r="J495" s="164">
        <f>I495*100/H495</f>
        <v>94.66320780094149</v>
      </c>
      <c r="K495" s="263"/>
      <c r="L495" s="194"/>
      <c r="M495" s="176"/>
    </row>
    <row r="496" spans="1:13" s="18" customFormat="1" ht="15" customHeight="1">
      <c r="A496" s="105"/>
      <c r="B496" s="105">
        <v>85215</v>
      </c>
      <c r="C496" s="105"/>
      <c r="D496" s="118" t="s">
        <v>69</v>
      </c>
      <c r="E496" s="240">
        <f>SUM(E497:E498)</f>
        <v>66145</v>
      </c>
      <c r="F496" s="108">
        <f>SUM(F497:F498)</f>
        <v>61921.93</v>
      </c>
      <c r="G496" s="156">
        <f t="shared" si="97"/>
        <v>93.61543578501777</v>
      </c>
      <c r="H496" s="240">
        <f>SUM(H497:H498)</f>
        <v>66145</v>
      </c>
      <c r="I496" s="108">
        <f>SUM(I497:I498)</f>
        <v>61921.93</v>
      </c>
      <c r="J496" s="156">
        <f>I496*100/H496</f>
        <v>93.61543578501777</v>
      </c>
      <c r="K496" s="240"/>
      <c r="L496" s="108"/>
      <c r="M496" s="156"/>
    </row>
    <row r="497" spans="1:13" s="17" customFormat="1" ht="11.25">
      <c r="A497" s="33"/>
      <c r="B497" s="33"/>
      <c r="C497" s="31">
        <v>3110</v>
      </c>
      <c r="D497" s="32" t="s">
        <v>70</v>
      </c>
      <c r="E497" s="241">
        <v>64616</v>
      </c>
      <c r="F497" s="193">
        <v>60970.24</v>
      </c>
      <c r="G497" s="161">
        <f t="shared" si="97"/>
        <v>94.35780611613222</v>
      </c>
      <c r="H497" s="265">
        <f>E497</f>
        <v>64616</v>
      </c>
      <c r="I497" s="193">
        <f>F497</f>
        <v>60970.24</v>
      </c>
      <c r="J497" s="161">
        <f t="shared" si="98"/>
        <v>94.35780611613222</v>
      </c>
      <c r="K497" s="265"/>
      <c r="L497" s="193"/>
      <c r="M497" s="168"/>
    </row>
    <row r="498" spans="1:13" s="17" customFormat="1" ht="11.25">
      <c r="A498" s="46"/>
      <c r="B498" s="46"/>
      <c r="C498" s="41">
        <v>4300</v>
      </c>
      <c r="D498" s="42" t="s">
        <v>39</v>
      </c>
      <c r="E498" s="244">
        <v>1529</v>
      </c>
      <c r="F498" s="190">
        <v>951.69</v>
      </c>
      <c r="G498" s="160">
        <f t="shared" si="97"/>
        <v>62.24264224983649</v>
      </c>
      <c r="H498" s="266">
        <f>E498</f>
        <v>1529</v>
      </c>
      <c r="I498" s="190">
        <f>F498</f>
        <v>951.69</v>
      </c>
      <c r="J498" s="160">
        <f t="shared" si="98"/>
        <v>62.24264224983649</v>
      </c>
      <c r="K498" s="266"/>
      <c r="L498" s="190"/>
      <c r="M498" s="176"/>
    </row>
    <row r="499" spans="1:13" s="18" customFormat="1" ht="14.25" customHeight="1">
      <c r="A499" s="105"/>
      <c r="B499" s="105">
        <v>85216</v>
      </c>
      <c r="C499" s="105"/>
      <c r="D499" s="118" t="s">
        <v>166</v>
      </c>
      <c r="E499" s="240">
        <f>E500+E501</f>
        <v>281596</v>
      </c>
      <c r="F499" s="108">
        <f>F500+F501</f>
        <v>250748.41999999998</v>
      </c>
      <c r="G499" s="156">
        <f t="shared" si="97"/>
        <v>89.04544808875126</v>
      </c>
      <c r="H499" s="240">
        <f>H500+H501</f>
        <v>281596</v>
      </c>
      <c r="I499" s="108">
        <f>I500+I501</f>
        <v>250748.41999999998</v>
      </c>
      <c r="J499" s="156">
        <f>I499*100/H499</f>
        <v>89.04544808875126</v>
      </c>
      <c r="K499" s="240"/>
      <c r="L499" s="108"/>
      <c r="M499" s="156"/>
    </row>
    <row r="500" spans="1:13" s="17" customFormat="1" ht="11.25">
      <c r="A500" s="33"/>
      <c r="B500" s="33"/>
      <c r="C500" s="312">
        <v>3110</v>
      </c>
      <c r="D500" s="32" t="s">
        <v>70</v>
      </c>
      <c r="E500" s="241">
        <v>280596</v>
      </c>
      <c r="F500" s="193">
        <v>250060.68</v>
      </c>
      <c r="G500" s="161">
        <f t="shared" si="97"/>
        <v>89.11769234058931</v>
      </c>
      <c r="H500" s="265">
        <f>E500</f>
        <v>280596</v>
      </c>
      <c r="I500" s="193">
        <f>F500</f>
        <v>250060.68</v>
      </c>
      <c r="J500" s="161">
        <f t="shared" si="98"/>
        <v>89.11769234058931</v>
      </c>
      <c r="K500" s="265"/>
      <c r="L500" s="193"/>
      <c r="M500" s="168"/>
    </row>
    <row r="501" spans="1:13" s="17" customFormat="1" ht="11.25">
      <c r="A501" s="46"/>
      <c r="B501" s="46"/>
      <c r="C501" s="345">
        <v>4300</v>
      </c>
      <c r="D501" s="42" t="s">
        <v>39</v>
      </c>
      <c r="E501" s="247">
        <v>1000</v>
      </c>
      <c r="F501" s="202">
        <v>687.74</v>
      </c>
      <c r="G501" s="166">
        <f t="shared" si="97"/>
        <v>68.774</v>
      </c>
      <c r="H501" s="269">
        <f>E501</f>
        <v>1000</v>
      </c>
      <c r="I501" s="202">
        <f>F501</f>
        <v>687.74</v>
      </c>
      <c r="J501" s="166">
        <f t="shared" si="98"/>
        <v>68.774</v>
      </c>
      <c r="K501" s="269"/>
      <c r="L501" s="202"/>
      <c r="M501" s="175"/>
    </row>
    <row r="502" spans="1:13" s="17" customFormat="1" ht="15" customHeight="1">
      <c r="A502" s="105"/>
      <c r="B502" s="105">
        <v>85219</v>
      </c>
      <c r="C502" s="105"/>
      <c r="D502" s="107" t="s">
        <v>17</v>
      </c>
      <c r="E502" s="240">
        <f>SUM(E503:E510,E511:E518)</f>
        <v>1803046</v>
      </c>
      <c r="F502" s="108">
        <f>SUM(F503:F510,F511:F518)</f>
        <v>1658205.9000000001</v>
      </c>
      <c r="G502" s="156">
        <f t="shared" si="97"/>
        <v>91.96692153167473</v>
      </c>
      <c r="H502" s="240">
        <f>SUM(H503:H510,H511:H518)</f>
        <v>1803046</v>
      </c>
      <c r="I502" s="108">
        <f>SUM(I503:I510,I511:I518)</f>
        <v>1658205.9000000001</v>
      </c>
      <c r="J502" s="156">
        <f>I502*100/H502</f>
        <v>91.96692153167473</v>
      </c>
      <c r="K502" s="240"/>
      <c r="L502" s="108"/>
      <c r="M502" s="156"/>
    </row>
    <row r="503" spans="1:13" s="17" customFormat="1" ht="11.25">
      <c r="A503" s="33"/>
      <c r="B503" s="33"/>
      <c r="C503" s="31">
        <v>3020</v>
      </c>
      <c r="D503" s="32" t="s">
        <v>112</v>
      </c>
      <c r="E503" s="241">
        <v>14425</v>
      </c>
      <c r="F503" s="64">
        <v>14295</v>
      </c>
      <c r="G503" s="161">
        <f t="shared" si="97"/>
        <v>99.09878682842287</v>
      </c>
      <c r="H503" s="265">
        <f aca="true" t="shared" si="100" ref="H503:H518">E503</f>
        <v>14425</v>
      </c>
      <c r="I503" s="193">
        <f aca="true" t="shared" si="101" ref="I503:I518">F503</f>
        <v>14295</v>
      </c>
      <c r="J503" s="161">
        <f t="shared" si="98"/>
        <v>99.09878682842287</v>
      </c>
      <c r="K503" s="65"/>
      <c r="L503" s="64"/>
      <c r="M503" s="168"/>
    </row>
    <row r="504" spans="1:13" s="17" customFormat="1" ht="11.25">
      <c r="A504" s="36"/>
      <c r="B504" s="36"/>
      <c r="C504" s="31">
        <v>4010</v>
      </c>
      <c r="D504" s="32" t="s">
        <v>41</v>
      </c>
      <c r="E504" s="241">
        <v>1095133</v>
      </c>
      <c r="F504" s="64">
        <v>1060505.18</v>
      </c>
      <c r="G504" s="161">
        <f t="shared" si="97"/>
        <v>96.83802606624036</v>
      </c>
      <c r="H504" s="265">
        <f t="shared" si="100"/>
        <v>1095133</v>
      </c>
      <c r="I504" s="193">
        <f t="shared" si="101"/>
        <v>1060505.18</v>
      </c>
      <c r="J504" s="161">
        <f t="shared" si="98"/>
        <v>96.83802606624036</v>
      </c>
      <c r="K504" s="65"/>
      <c r="L504" s="64"/>
      <c r="M504" s="168"/>
    </row>
    <row r="505" spans="1:13" s="17" customFormat="1" ht="11.25">
      <c r="A505" s="36"/>
      <c r="B505" s="36"/>
      <c r="C505" s="19">
        <v>4040</v>
      </c>
      <c r="D505" s="21" t="s">
        <v>110</v>
      </c>
      <c r="E505" s="246">
        <v>88773</v>
      </c>
      <c r="F505" s="72">
        <v>88772.76</v>
      </c>
      <c r="G505" s="162">
        <f t="shared" si="97"/>
        <v>99.99972964752797</v>
      </c>
      <c r="H505" s="264">
        <f t="shared" si="100"/>
        <v>88773</v>
      </c>
      <c r="I505" s="192">
        <f t="shared" si="101"/>
        <v>88772.76</v>
      </c>
      <c r="J505" s="162">
        <f t="shared" si="98"/>
        <v>99.99972964752797</v>
      </c>
      <c r="K505" s="71"/>
      <c r="L505" s="72"/>
      <c r="M505" s="177"/>
    </row>
    <row r="506" spans="1:13" s="17" customFormat="1" ht="11.25">
      <c r="A506" s="36"/>
      <c r="B506" s="36"/>
      <c r="C506" s="19">
        <v>4110</v>
      </c>
      <c r="D506" s="21" t="s">
        <v>71</v>
      </c>
      <c r="E506" s="246">
        <v>208700</v>
      </c>
      <c r="F506" s="72">
        <v>205892.2</v>
      </c>
      <c r="G506" s="162">
        <f t="shared" si="97"/>
        <v>98.65462386200288</v>
      </c>
      <c r="H506" s="264">
        <f t="shared" si="100"/>
        <v>208700</v>
      </c>
      <c r="I506" s="192">
        <f t="shared" si="101"/>
        <v>205892.2</v>
      </c>
      <c r="J506" s="162">
        <f t="shared" si="98"/>
        <v>98.65462386200288</v>
      </c>
      <c r="K506" s="71"/>
      <c r="L506" s="72"/>
      <c r="M506" s="177"/>
    </row>
    <row r="507" spans="1:13" s="17" customFormat="1" ht="11.25">
      <c r="A507" s="36"/>
      <c r="B507" s="36"/>
      <c r="C507" s="31">
        <v>4120</v>
      </c>
      <c r="D507" s="32" t="s">
        <v>34</v>
      </c>
      <c r="E507" s="241">
        <v>29250</v>
      </c>
      <c r="F507" s="64">
        <v>17090.3</v>
      </c>
      <c r="G507" s="161">
        <f t="shared" si="97"/>
        <v>58.42837606837607</v>
      </c>
      <c r="H507" s="265">
        <f t="shared" si="100"/>
        <v>29250</v>
      </c>
      <c r="I507" s="193">
        <f t="shared" si="101"/>
        <v>17090.3</v>
      </c>
      <c r="J507" s="161">
        <f t="shared" si="98"/>
        <v>58.42837606837607</v>
      </c>
      <c r="K507" s="65"/>
      <c r="L507" s="64"/>
      <c r="M507" s="168"/>
    </row>
    <row r="508" spans="1:13" s="17" customFormat="1" ht="11.25">
      <c r="A508" s="36"/>
      <c r="B508" s="36"/>
      <c r="C508" s="31">
        <v>4170</v>
      </c>
      <c r="D508" s="32" t="s">
        <v>114</v>
      </c>
      <c r="E508" s="241">
        <v>147000</v>
      </c>
      <c r="F508" s="64">
        <v>128391.01</v>
      </c>
      <c r="G508" s="161">
        <f t="shared" si="97"/>
        <v>87.3408231292517</v>
      </c>
      <c r="H508" s="265">
        <f t="shared" si="100"/>
        <v>147000</v>
      </c>
      <c r="I508" s="193">
        <f t="shared" si="101"/>
        <v>128391.01</v>
      </c>
      <c r="J508" s="161">
        <f t="shared" si="98"/>
        <v>87.3408231292517</v>
      </c>
      <c r="K508" s="65"/>
      <c r="L508" s="64"/>
      <c r="M508" s="168"/>
    </row>
    <row r="509" spans="1:13" s="17" customFormat="1" ht="11.25">
      <c r="A509" s="36"/>
      <c r="B509" s="36"/>
      <c r="C509" s="31">
        <v>4210</v>
      </c>
      <c r="D509" s="32" t="s">
        <v>35</v>
      </c>
      <c r="E509" s="241">
        <v>75760</v>
      </c>
      <c r="F509" s="64">
        <v>23430.63</v>
      </c>
      <c r="G509" s="161">
        <f t="shared" si="97"/>
        <v>30.9274419218585</v>
      </c>
      <c r="H509" s="265">
        <f t="shared" si="100"/>
        <v>75760</v>
      </c>
      <c r="I509" s="193">
        <f t="shared" si="101"/>
        <v>23430.63</v>
      </c>
      <c r="J509" s="161">
        <f t="shared" si="98"/>
        <v>30.9274419218585</v>
      </c>
      <c r="K509" s="65"/>
      <c r="L509" s="64"/>
      <c r="M509" s="168"/>
    </row>
    <row r="510" spans="1:13" s="17" customFormat="1" ht="11.25">
      <c r="A510" s="36"/>
      <c r="B510" s="36"/>
      <c r="C510" s="31">
        <v>4260</v>
      </c>
      <c r="D510" s="32" t="s">
        <v>61</v>
      </c>
      <c r="E510" s="241">
        <v>11000</v>
      </c>
      <c r="F510" s="193">
        <v>9718.8</v>
      </c>
      <c r="G510" s="161">
        <f t="shared" si="97"/>
        <v>88.35272727272726</v>
      </c>
      <c r="H510" s="265">
        <f t="shared" si="100"/>
        <v>11000</v>
      </c>
      <c r="I510" s="193">
        <f t="shared" si="101"/>
        <v>9718.8</v>
      </c>
      <c r="J510" s="161">
        <f t="shared" si="98"/>
        <v>88.35272727272726</v>
      </c>
      <c r="K510" s="265"/>
      <c r="L510" s="193"/>
      <c r="M510" s="168"/>
    </row>
    <row r="511" spans="1:13" s="17" customFormat="1" ht="11.25">
      <c r="A511" s="36"/>
      <c r="B511" s="36"/>
      <c r="C511" s="31">
        <v>4280</v>
      </c>
      <c r="D511" s="32" t="s">
        <v>51</v>
      </c>
      <c r="E511" s="241">
        <v>800</v>
      </c>
      <c r="F511" s="64">
        <v>400</v>
      </c>
      <c r="G511" s="161">
        <f t="shared" si="97"/>
        <v>50</v>
      </c>
      <c r="H511" s="265">
        <f t="shared" si="100"/>
        <v>800</v>
      </c>
      <c r="I511" s="193">
        <f t="shared" si="101"/>
        <v>400</v>
      </c>
      <c r="J511" s="161">
        <f t="shared" si="98"/>
        <v>50</v>
      </c>
      <c r="K511" s="65"/>
      <c r="L511" s="64"/>
      <c r="M511" s="168"/>
    </row>
    <row r="512" spans="1:13" s="17" customFormat="1" ht="11.25">
      <c r="A512" s="36"/>
      <c r="B512" s="36"/>
      <c r="C512" s="31">
        <v>4300</v>
      </c>
      <c r="D512" s="32" t="s">
        <v>39</v>
      </c>
      <c r="E512" s="241">
        <v>73000</v>
      </c>
      <c r="F512" s="64">
        <v>59936.57</v>
      </c>
      <c r="G512" s="161">
        <f t="shared" si="97"/>
        <v>82.1048904109589</v>
      </c>
      <c r="H512" s="265">
        <f t="shared" si="100"/>
        <v>73000</v>
      </c>
      <c r="I512" s="193">
        <f t="shared" si="101"/>
        <v>59936.57</v>
      </c>
      <c r="J512" s="161">
        <f t="shared" si="98"/>
        <v>82.1048904109589</v>
      </c>
      <c r="K512" s="65"/>
      <c r="L512" s="64"/>
      <c r="M512" s="168"/>
    </row>
    <row r="513" spans="1:13" s="17" customFormat="1" ht="13.5" customHeight="1">
      <c r="A513" s="36"/>
      <c r="B513" s="36"/>
      <c r="C513" s="31">
        <v>4360</v>
      </c>
      <c r="D513" s="32" t="s">
        <v>209</v>
      </c>
      <c r="E513" s="241">
        <v>15000</v>
      </c>
      <c r="F513" s="64">
        <v>8181.11</v>
      </c>
      <c r="G513" s="161">
        <f t="shared" si="97"/>
        <v>54.540733333333336</v>
      </c>
      <c r="H513" s="265">
        <f t="shared" si="100"/>
        <v>15000</v>
      </c>
      <c r="I513" s="193">
        <f t="shared" si="101"/>
        <v>8181.11</v>
      </c>
      <c r="J513" s="161">
        <f t="shared" si="98"/>
        <v>54.540733333333336</v>
      </c>
      <c r="K513" s="65"/>
      <c r="L513" s="64"/>
      <c r="M513" s="168"/>
    </row>
    <row r="514" spans="1:13" s="17" customFormat="1" ht="11.25">
      <c r="A514" s="36"/>
      <c r="B514" s="36"/>
      <c r="C514" s="31">
        <v>4410</v>
      </c>
      <c r="D514" s="32" t="s">
        <v>68</v>
      </c>
      <c r="E514" s="241">
        <v>18720</v>
      </c>
      <c r="F514" s="64">
        <v>17677.11</v>
      </c>
      <c r="G514" s="161">
        <f t="shared" si="97"/>
        <v>94.4290064102564</v>
      </c>
      <c r="H514" s="265">
        <f t="shared" si="100"/>
        <v>18720</v>
      </c>
      <c r="I514" s="193">
        <f t="shared" si="101"/>
        <v>17677.11</v>
      </c>
      <c r="J514" s="161">
        <f t="shared" si="98"/>
        <v>94.4290064102564</v>
      </c>
      <c r="K514" s="65"/>
      <c r="L514" s="64"/>
      <c r="M514" s="168"/>
    </row>
    <row r="515" spans="1:13" s="17" customFormat="1" ht="11.25">
      <c r="A515" s="36"/>
      <c r="B515" s="36"/>
      <c r="C515" s="31">
        <v>4430</v>
      </c>
      <c r="D515" s="32" t="s">
        <v>118</v>
      </c>
      <c r="E515" s="241">
        <v>600</v>
      </c>
      <c r="F515" s="64">
        <v>330.75</v>
      </c>
      <c r="G515" s="161">
        <f t="shared" si="97"/>
        <v>55.125</v>
      </c>
      <c r="H515" s="265">
        <f t="shared" si="100"/>
        <v>600</v>
      </c>
      <c r="I515" s="193">
        <f t="shared" si="101"/>
        <v>330.75</v>
      </c>
      <c r="J515" s="161">
        <f t="shared" si="98"/>
        <v>55.125</v>
      </c>
      <c r="K515" s="65"/>
      <c r="L515" s="64"/>
      <c r="M515" s="168"/>
    </row>
    <row r="516" spans="1:13" s="17" customFormat="1" ht="21">
      <c r="A516" s="36"/>
      <c r="B516" s="36"/>
      <c r="C516" s="31">
        <v>4440</v>
      </c>
      <c r="D516" s="32" t="s">
        <v>63</v>
      </c>
      <c r="E516" s="241">
        <v>18440</v>
      </c>
      <c r="F516" s="64">
        <v>18325.66</v>
      </c>
      <c r="G516" s="161">
        <f t="shared" si="97"/>
        <v>99.37993492407809</v>
      </c>
      <c r="H516" s="265">
        <f t="shared" si="100"/>
        <v>18440</v>
      </c>
      <c r="I516" s="193">
        <f t="shared" si="101"/>
        <v>18325.66</v>
      </c>
      <c r="J516" s="161">
        <f t="shared" si="98"/>
        <v>99.37993492407809</v>
      </c>
      <c r="K516" s="65"/>
      <c r="L516" s="64"/>
      <c r="M516" s="168"/>
    </row>
    <row r="517" spans="1:13" s="17" customFormat="1" ht="21">
      <c r="A517" s="36"/>
      <c r="B517" s="36"/>
      <c r="C517" s="31">
        <v>4520</v>
      </c>
      <c r="D517" s="32" t="s">
        <v>201</v>
      </c>
      <c r="E517" s="241">
        <v>2000</v>
      </c>
      <c r="F517" s="64">
        <v>2000</v>
      </c>
      <c r="G517" s="161">
        <f t="shared" si="97"/>
        <v>100</v>
      </c>
      <c r="H517" s="265">
        <f t="shared" si="100"/>
        <v>2000</v>
      </c>
      <c r="I517" s="193">
        <f t="shared" si="101"/>
        <v>2000</v>
      </c>
      <c r="J517" s="161">
        <f t="shared" si="98"/>
        <v>100</v>
      </c>
      <c r="K517" s="65"/>
      <c r="L517" s="64"/>
      <c r="M517" s="168"/>
    </row>
    <row r="518" spans="1:13" s="17" customFormat="1" ht="21">
      <c r="A518" s="46"/>
      <c r="B518" s="46"/>
      <c r="C518" s="41">
        <v>4700</v>
      </c>
      <c r="D518" s="42" t="s">
        <v>171</v>
      </c>
      <c r="E518" s="244">
        <v>4445</v>
      </c>
      <c r="F518" s="188">
        <v>3258.82</v>
      </c>
      <c r="G518" s="160">
        <f t="shared" si="97"/>
        <v>73.31428571428572</v>
      </c>
      <c r="H518" s="266">
        <f t="shared" si="100"/>
        <v>4445</v>
      </c>
      <c r="I518" s="190">
        <f t="shared" si="101"/>
        <v>3258.82</v>
      </c>
      <c r="J518" s="160">
        <f t="shared" si="98"/>
        <v>73.31428571428572</v>
      </c>
      <c r="K518" s="260"/>
      <c r="L518" s="188"/>
      <c r="M518" s="176"/>
    </row>
    <row r="519" spans="1:13" s="17" customFormat="1" ht="21">
      <c r="A519" s="105"/>
      <c r="B519" s="105">
        <v>85228</v>
      </c>
      <c r="C519" s="105"/>
      <c r="D519" s="107" t="s">
        <v>278</v>
      </c>
      <c r="E519" s="240">
        <f>E520</f>
        <v>2310</v>
      </c>
      <c r="F519" s="108">
        <f>F520</f>
        <v>2310</v>
      </c>
      <c r="G519" s="108">
        <f>F519*100/E519</f>
        <v>100</v>
      </c>
      <c r="H519" s="240">
        <f>E519</f>
        <v>2310</v>
      </c>
      <c r="I519" s="108">
        <f>F519</f>
        <v>2310</v>
      </c>
      <c r="J519" s="108">
        <f t="shared" si="98"/>
        <v>100</v>
      </c>
      <c r="K519" s="240"/>
      <c r="L519" s="108"/>
      <c r="M519" s="156"/>
    </row>
    <row r="520" spans="1:13" s="17" customFormat="1" ht="11.25">
      <c r="A520" s="33"/>
      <c r="B520" s="33"/>
      <c r="C520" s="33">
        <v>4170</v>
      </c>
      <c r="D520" s="37" t="s">
        <v>114</v>
      </c>
      <c r="E520" s="245">
        <v>2310</v>
      </c>
      <c r="F520" s="194">
        <v>2310</v>
      </c>
      <c r="G520" s="164">
        <f>F520*100/E520</f>
        <v>100</v>
      </c>
      <c r="H520" s="263">
        <f>E520</f>
        <v>2310</v>
      </c>
      <c r="I520" s="194">
        <f>F520</f>
        <v>2310</v>
      </c>
      <c r="J520" s="164">
        <f>G520</f>
        <v>100</v>
      </c>
      <c r="K520" s="263"/>
      <c r="L520" s="194"/>
      <c r="M520" s="178"/>
    </row>
    <row r="521" spans="1:13" s="17" customFormat="1" ht="11.25" customHeight="1">
      <c r="A521" s="105"/>
      <c r="B521" s="105">
        <v>85230</v>
      </c>
      <c r="C521" s="105"/>
      <c r="D521" s="107" t="s">
        <v>234</v>
      </c>
      <c r="E521" s="240">
        <f>SUM(E522:E523)</f>
        <v>283000</v>
      </c>
      <c r="F521" s="108">
        <f>SUM(F522:F523)</f>
        <v>266437.67</v>
      </c>
      <c r="G521" s="108">
        <f>F521*100/E521</f>
        <v>94.14758657243816</v>
      </c>
      <c r="H521" s="240">
        <f>SUM(H522:H523)</f>
        <v>283000</v>
      </c>
      <c r="I521" s="108">
        <f>SUM(I522:I523)</f>
        <v>266437.67</v>
      </c>
      <c r="J521" s="108">
        <f>I521*100/H521</f>
        <v>94.14758657243816</v>
      </c>
      <c r="K521" s="240"/>
      <c r="L521" s="108"/>
      <c r="M521" s="156"/>
    </row>
    <row r="522" spans="1:13" s="17" customFormat="1" ht="11.25">
      <c r="A522" s="33"/>
      <c r="B522" s="33"/>
      <c r="C522" s="33">
        <v>3110</v>
      </c>
      <c r="D522" s="34" t="s">
        <v>70</v>
      </c>
      <c r="E522" s="245">
        <v>282000</v>
      </c>
      <c r="F522" s="194">
        <v>266044.67</v>
      </c>
      <c r="G522" s="164">
        <f>F522*100/E522</f>
        <v>94.34208156028369</v>
      </c>
      <c r="H522" s="263">
        <f>E522</f>
        <v>282000</v>
      </c>
      <c r="I522" s="194">
        <f>F522</f>
        <v>266044.67</v>
      </c>
      <c r="J522" s="164">
        <f>I522*100/H522</f>
        <v>94.34208156028369</v>
      </c>
      <c r="K522" s="263"/>
      <c r="L522" s="194"/>
      <c r="M522" s="178"/>
    </row>
    <row r="523" spans="1:13" s="17" customFormat="1" ht="11.25">
      <c r="A523" s="36"/>
      <c r="B523" s="36"/>
      <c r="C523" s="33">
        <v>4300</v>
      </c>
      <c r="D523" s="34" t="s">
        <v>92</v>
      </c>
      <c r="E523" s="245">
        <v>1000</v>
      </c>
      <c r="F523" s="194">
        <v>393</v>
      </c>
      <c r="G523" s="164">
        <f>F523*100/E523</f>
        <v>39.3</v>
      </c>
      <c r="H523" s="263">
        <f>E523</f>
        <v>1000</v>
      </c>
      <c r="I523" s="194">
        <f>F523</f>
        <v>393</v>
      </c>
      <c r="J523" s="164">
        <f>I523*100/H523</f>
        <v>39.3</v>
      </c>
      <c r="K523" s="263"/>
      <c r="L523" s="194"/>
      <c r="M523" s="178"/>
    </row>
    <row r="524" spans="1:13" s="17" customFormat="1" ht="12.75" customHeight="1">
      <c r="A524" s="105"/>
      <c r="B524" s="105">
        <v>85295</v>
      </c>
      <c r="C524" s="105"/>
      <c r="D524" s="107" t="s">
        <v>6</v>
      </c>
      <c r="E524" s="240">
        <f>SUM(E525:E530)</f>
        <v>153029</v>
      </c>
      <c r="F524" s="108">
        <f>SUM(F525:F530)</f>
        <v>144219.73</v>
      </c>
      <c r="G524" s="108">
        <f>G525</f>
        <v>92.2793023255814</v>
      </c>
      <c r="H524" s="240">
        <f>SUM(H525:H530)</f>
        <v>35450</v>
      </c>
      <c r="I524" s="108">
        <f>SUM(I525:I530)</f>
        <v>26714.71</v>
      </c>
      <c r="J524" s="108">
        <f>J525</f>
        <v>92.2793023255814</v>
      </c>
      <c r="K524" s="240">
        <f>K530</f>
        <v>117579</v>
      </c>
      <c r="L524" s="108">
        <f>L530</f>
        <v>117505.02</v>
      </c>
      <c r="M524" s="108">
        <f>M530</f>
        <v>99.93708060112775</v>
      </c>
    </row>
    <row r="525" spans="1:13" s="17" customFormat="1" ht="11.25">
      <c r="A525" s="33"/>
      <c r="B525" s="33"/>
      <c r="C525" s="33">
        <v>3110</v>
      </c>
      <c r="D525" s="34" t="s">
        <v>70</v>
      </c>
      <c r="E525" s="245">
        <v>21500</v>
      </c>
      <c r="F525" s="194">
        <v>19840.05</v>
      </c>
      <c r="G525" s="164">
        <f aca="true" t="shared" si="102" ref="G525:G530">F525*100/E525</f>
        <v>92.2793023255814</v>
      </c>
      <c r="H525" s="263">
        <f aca="true" t="shared" si="103" ref="H525:I529">E525</f>
        <v>21500</v>
      </c>
      <c r="I525" s="194">
        <f t="shared" si="103"/>
        <v>19840.05</v>
      </c>
      <c r="J525" s="164">
        <f>I525*100/H525</f>
        <v>92.2793023255814</v>
      </c>
      <c r="K525" s="263"/>
      <c r="L525" s="194"/>
      <c r="M525" s="178"/>
    </row>
    <row r="526" spans="1:13" s="17" customFormat="1" ht="11.25">
      <c r="A526" s="36"/>
      <c r="B526" s="36"/>
      <c r="C526" s="312">
        <v>4110</v>
      </c>
      <c r="D526" s="32" t="s">
        <v>104</v>
      </c>
      <c r="E526" s="241">
        <v>750</v>
      </c>
      <c r="F526" s="193">
        <v>279.59</v>
      </c>
      <c r="G526" s="161">
        <f t="shared" si="102"/>
        <v>37.27866666666666</v>
      </c>
      <c r="H526" s="265">
        <f t="shared" si="103"/>
        <v>750</v>
      </c>
      <c r="I526" s="193">
        <f t="shared" si="103"/>
        <v>279.59</v>
      </c>
      <c r="J526" s="161">
        <f>I526*100/H526</f>
        <v>37.27866666666666</v>
      </c>
      <c r="K526" s="265"/>
      <c r="L526" s="193"/>
      <c r="M526" s="404"/>
    </row>
    <row r="527" spans="1:13" s="17" customFormat="1" ht="11.25">
      <c r="A527" s="36"/>
      <c r="B527" s="36"/>
      <c r="C527" s="499">
        <v>4120</v>
      </c>
      <c r="D527" s="37" t="s">
        <v>34</v>
      </c>
      <c r="E527" s="242">
        <v>110</v>
      </c>
      <c r="F527" s="199">
        <v>40.07</v>
      </c>
      <c r="G527" s="163">
        <f t="shared" si="102"/>
        <v>36.42727272727273</v>
      </c>
      <c r="H527" s="268">
        <f t="shared" si="103"/>
        <v>110</v>
      </c>
      <c r="I527" s="199">
        <f t="shared" si="103"/>
        <v>40.07</v>
      </c>
      <c r="J527" s="163">
        <f>I527*100/H527</f>
        <v>36.42727272727273</v>
      </c>
      <c r="K527" s="268"/>
      <c r="L527" s="199"/>
      <c r="M527" s="179"/>
    </row>
    <row r="528" spans="1:13" s="17" customFormat="1" ht="11.25">
      <c r="A528" s="36"/>
      <c r="B528" s="36"/>
      <c r="C528" s="312">
        <v>4170</v>
      </c>
      <c r="D528" s="32" t="s">
        <v>114</v>
      </c>
      <c r="E528" s="241">
        <v>4360</v>
      </c>
      <c r="F528" s="193">
        <v>1635</v>
      </c>
      <c r="G528" s="161">
        <f t="shared" si="102"/>
        <v>37.5</v>
      </c>
      <c r="H528" s="265">
        <f t="shared" si="103"/>
        <v>4360</v>
      </c>
      <c r="I528" s="193">
        <f t="shared" si="103"/>
        <v>1635</v>
      </c>
      <c r="J528" s="161">
        <f>I528*100/H528</f>
        <v>37.5</v>
      </c>
      <c r="K528" s="265"/>
      <c r="L528" s="193"/>
      <c r="M528" s="404"/>
    </row>
    <row r="529" spans="1:13" s="17" customFormat="1" ht="11.25">
      <c r="A529" s="36"/>
      <c r="B529" s="36"/>
      <c r="C529" s="312">
        <v>4300</v>
      </c>
      <c r="D529" s="32" t="s">
        <v>92</v>
      </c>
      <c r="E529" s="241">
        <v>8730</v>
      </c>
      <c r="F529" s="193">
        <v>4920</v>
      </c>
      <c r="G529" s="161">
        <f t="shared" si="102"/>
        <v>56.3573883161512</v>
      </c>
      <c r="H529" s="265">
        <f t="shared" si="103"/>
        <v>8730</v>
      </c>
      <c r="I529" s="193">
        <f t="shared" si="103"/>
        <v>4920</v>
      </c>
      <c r="J529" s="161">
        <f>I529*100/H529</f>
        <v>56.3573883161512</v>
      </c>
      <c r="K529" s="265"/>
      <c r="L529" s="193"/>
      <c r="M529" s="168"/>
    </row>
    <row r="530" spans="1:13" s="17" customFormat="1" ht="17.25" customHeight="1">
      <c r="A530" s="36"/>
      <c r="B530" s="36"/>
      <c r="C530" s="36">
        <v>6050</v>
      </c>
      <c r="D530" s="37" t="s">
        <v>210</v>
      </c>
      <c r="E530" s="242">
        <v>117579</v>
      </c>
      <c r="F530" s="199">
        <v>117505.02</v>
      </c>
      <c r="G530" s="163">
        <f t="shared" si="102"/>
        <v>99.93708060112775</v>
      </c>
      <c r="H530" s="268"/>
      <c r="I530" s="199"/>
      <c r="J530" s="163"/>
      <c r="K530" s="268">
        <f>E530</f>
        <v>117579</v>
      </c>
      <c r="L530" s="268">
        <f>F530</f>
        <v>117505.02</v>
      </c>
      <c r="M530" s="199">
        <f>G530</f>
        <v>99.93708060112775</v>
      </c>
    </row>
    <row r="531" spans="1:13" s="17" customFormat="1" ht="21">
      <c r="A531" s="105"/>
      <c r="B531" s="105">
        <v>85295</v>
      </c>
      <c r="C531" s="105"/>
      <c r="D531" s="107" t="s">
        <v>253</v>
      </c>
      <c r="E531" s="240">
        <f>SUM(E532:E538)</f>
        <v>58369</v>
      </c>
      <c r="F531" s="108">
        <f>SUM(F532:F538)</f>
        <v>51371.89</v>
      </c>
      <c r="G531" s="108">
        <f aca="true" t="shared" si="104" ref="G531:G538">F531*100/E531</f>
        <v>88.0122839178331</v>
      </c>
      <c r="H531" s="240">
        <f>SUM(H532:H538)</f>
        <v>58369</v>
      </c>
      <c r="I531" s="108">
        <f>SUM(I532:I537)</f>
        <v>51371.89</v>
      </c>
      <c r="J531" s="108">
        <f aca="true" t="shared" si="105" ref="J531:J538">I531*100/H531</f>
        <v>88.0122839178331</v>
      </c>
      <c r="K531" s="240"/>
      <c r="L531" s="108"/>
      <c r="M531" s="156"/>
    </row>
    <row r="532" spans="1:13" s="17" customFormat="1" ht="11.25">
      <c r="A532" s="36"/>
      <c r="B532" s="36"/>
      <c r="C532" s="33">
        <v>4017</v>
      </c>
      <c r="D532" s="34" t="s">
        <v>41</v>
      </c>
      <c r="E532" s="245">
        <v>40395</v>
      </c>
      <c r="F532" s="194">
        <v>40079.5</v>
      </c>
      <c r="G532" s="164">
        <f t="shared" si="104"/>
        <v>99.21896274291373</v>
      </c>
      <c r="H532" s="263">
        <f aca="true" t="shared" si="106" ref="H532:I538">E532</f>
        <v>40395</v>
      </c>
      <c r="I532" s="194">
        <f t="shared" si="106"/>
        <v>40079.5</v>
      </c>
      <c r="J532" s="164">
        <f t="shared" si="105"/>
        <v>99.21896274291373</v>
      </c>
      <c r="K532" s="263"/>
      <c r="L532" s="194"/>
      <c r="M532" s="178"/>
    </row>
    <row r="533" spans="1:13" s="17" customFormat="1" ht="11.25">
      <c r="A533" s="36"/>
      <c r="B533" s="36"/>
      <c r="C533" s="33">
        <v>4117</v>
      </c>
      <c r="D533" s="403" t="s">
        <v>104</v>
      </c>
      <c r="E533" s="245">
        <v>6936</v>
      </c>
      <c r="F533" s="194">
        <v>6508.79</v>
      </c>
      <c r="G533" s="164">
        <f t="shared" si="104"/>
        <v>93.8406862745098</v>
      </c>
      <c r="H533" s="263">
        <f t="shared" si="106"/>
        <v>6936</v>
      </c>
      <c r="I533" s="194">
        <f t="shared" si="106"/>
        <v>6508.79</v>
      </c>
      <c r="J533" s="164">
        <f t="shared" si="105"/>
        <v>93.8406862745098</v>
      </c>
      <c r="K533" s="263"/>
      <c r="L533" s="194"/>
      <c r="M533" s="178"/>
    </row>
    <row r="534" spans="1:13" s="16" customFormat="1" ht="11.25">
      <c r="A534" s="36"/>
      <c r="B534" s="36"/>
      <c r="C534" s="33">
        <v>4127</v>
      </c>
      <c r="D534" s="313" t="s">
        <v>34</v>
      </c>
      <c r="E534" s="241">
        <v>669</v>
      </c>
      <c r="F534" s="193">
        <v>645.65</v>
      </c>
      <c r="G534" s="161">
        <f t="shared" si="104"/>
        <v>96.50971599402092</v>
      </c>
      <c r="H534" s="265">
        <f t="shared" si="106"/>
        <v>669</v>
      </c>
      <c r="I534" s="193">
        <f t="shared" si="106"/>
        <v>645.65</v>
      </c>
      <c r="J534" s="315">
        <f t="shared" si="105"/>
        <v>96.50971599402092</v>
      </c>
      <c r="K534" s="265"/>
      <c r="L534" s="193"/>
      <c r="M534" s="168"/>
    </row>
    <row r="535" spans="1:13" s="16" customFormat="1" ht="21">
      <c r="A535" s="36"/>
      <c r="B535" s="36"/>
      <c r="C535" s="33">
        <v>4177</v>
      </c>
      <c r="D535" s="324" t="s">
        <v>235</v>
      </c>
      <c r="E535" s="246">
        <v>3270</v>
      </c>
      <c r="F535" s="72">
        <v>1635</v>
      </c>
      <c r="G535" s="162">
        <f t="shared" si="104"/>
        <v>50</v>
      </c>
      <c r="H535" s="264">
        <f t="shared" si="106"/>
        <v>3270</v>
      </c>
      <c r="I535" s="192">
        <f t="shared" si="106"/>
        <v>1635</v>
      </c>
      <c r="J535" s="315">
        <f t="shared" si="105"/>
        <v>50</v>
      </c>
      <c r="K535" s="65"/>
      <c r="L535" s="64"/>
      <c r="M535" s="168"/>
    </row>
    <row r="536" spans="1:13" s="16" customFormat="1" ht="11.25">
      <c r="A536" s="36"/>
      <c r="B536" s="36"/>
      <c r="C536" s="33">
        <v>4217</v>
      </c>
      <c r="D536" s="324" t="s">
        <v>35</v>
      </c>
      <c r="E536" s="242">
        <v>5202</v>
      </c>
      <c r="F536" s="72">
        <v>2457.95</v>
      </c>
      <c r="G536" s="162">
        <f t="shared" si="104"/>
        <v>47.25009611687812</v>
      </c>
      <c r="H536" s="264">
        <f t="shared" si="106"/>
        <v>5202</v>
      </c>
      <c r="I536" s="192">
        <f t="shared" si="106"/>
        <v>2457.95</v>
      </c>
      <c r="J536" s="380">
        <f t="shared" si="105"/>
        <v>47.25009611687812</v>
      </c>
      <c r="K536" s="262"/>
      <c r="L536" s="191"/>
      <c r="M536" s="179"/>
    </row>
    <row r="537" spans="1:13" s="17" customFormat="1" ht="11.25">
      <c r="A537" s="36"/>
      <c r="B537" s="36"/>
      <c r="C537" s="33">
        <v>4307</v>
      </c>
      <c r="D537" s="32" t="s">
        <v>92</v>
      </c>
      <c r="E537" s="241">
        <v>1892</v>
      </c>
      <c r="F537" s="72">
        <v>45</v>
      </c>
      <c r="G537" s="162">
        <f t="shared" si="104"/>
        <v>2.3784355179704018</v>
      </c>
      <c r="H537" s="264">
        <f t="shared" si="106"/>
        <v>1892</v>
      </c>
      <c r="I537" s="192">
        <f t="shared" si="106"/>
        <v>45</v>
      </c>
      <c r="J537" s="162">
        <f t="shared" si="105"/>
        <v>2.3784355179704018</v>
      </c>
      <c r="K537" s="262"/>
      <c r="L537" s="191"/>
      <c r="M537" s="179"/>
    </row>
    <row r="538" spans="1:13" s="17" customFormat="1" ht="11.25">
      <c r="A538" s="36"/>
      <c r="B538" s="36"/>
      <c r="C538" s="33">
        <v>4417</v>
      </c>
      <c r="D538" s="37" t="s">
        <v>68</v>
      </c>
      <c r="E538" s="244">
        <v>5</v>
      </c>
      <c r="F538" s="188">
        <v>0</v>
      </c>
      <c r="G538" s="160">
        <f t="shared" si="104"/>
        <v>0</v>
      </c>
      <c r="H538" s="266">
        <f t="shared" si="106"/>
        <v>5</v>
      </c>
      <c r="I538" s="190">
        <f t="shared" si="106"/>
        <v>0</v>
      </c>
      <c r="J538" s="160">
        <f t="shared" si="105"/>
        <v>0</v>
      </c>
      <c r="K538" s="262"/>
      <c r="L538" s="191"/>
      <c r="M538" s="179"/>
    </row>
    <row r="539" spans="1:13" s="17" customFormat="1" ht="23.25" customHeight="1">
      <c r="A539" s="119">
        <v>853</v>
      </c>
      <c r="B539" s="119"/>
      <c r="C539" s="119"/>
      <c r="D539" s="120" t="s">
        <v>285</v>
      </c>
      <c r="E539" s="287">
        <f aca="true" t="shared" si="107" ref="E539:J539">E540</f>
        <v>44800</v>
      </c>
      <c r="F539" s="288">
        <f t="shared" si="107"/>
        <v>37493.8</v>
      </c>
      <c r="G539" s="288">
        <f t="shared" si="107"/>
        <v>83.69151785714287</v>
      </c>
      <c r="H539" s="288">
        <f t="shared" si="107"/>
        <v>44800</v>
      </c>
      <c r="I539" s="288">
        <f t="shared" si="107"/>
        <v>37493.8</v>
      </c>
      <c r="J539" s="288">
        <f t="shared" si="107"/>
        <v>83.69151785714287</v>
      </c>
      <c r="K539" s="251"/>
      <c r="L539" s="201"/>
      <c r="M539" s="167"/>
    </row>
    <row r="540" spans="1:13" s="17" customFormat="1" ht="31.5">
      <c r="A540" s="105"/>
      <c r="B540" s="105">
        <v>85395</v>
      </c>
      <c r="C540" s="105"/>
      <c r="D540" s="107" t="s">
        <v>284</v>
      </c>
      <c r="E540" s="240">
        <f>SUM(E541:E545)</f>
        <v>44800</v>
      </c>
      <c r="F540" s="108">
        <f>SUM(F541:F545)</f>
        <v>37493.8</v>
      </c>
      <c r="G540" s="156">
        <f aca="true" t="shared" si="108" ref="G540:G545">F540*100/E540</f>
        <v>83.69151785714287</v>
      </c>
      <c r="H540" s="240">
        <f aca="true" t="shared" si="109" ref="H540:J545">E540</f>
        <v>44800</v>
      </c>
      <c r="I540" s="108">
        <f t="shared" si="109"/>
        <v>37493.8</v>
      </c>
      <c r="J540" s="108">
        <f t="shared" si="109"/>
        <v>83.69151785714287</v>
      </c>
      <c r="K540" s="240"/>
      <c r="L540" s="108"/>
      <c r="M540" s="156"/>
    </row>
    <row r="541" spans="1:13" s="17" customFormat="1" ht="11.25">
      <c r="A541" s="36"/>
      <c r="B541" s="36"/>
      <c r="C541" s="33">
        <v>4017</v>
      </c>
      <c r="D541" s="34" t="s">
        <v>41</v>
      </c>
      <c r="E541" s="241">
        <v>5717</v>
      </c>
      <c r="F541" s="193">
        <v>5684.52</v>
      </c>
      <c r="G541" s="161">
        <f t="shared" si="108"/>
        <v>99.43186986181564</v>
      </c>
      <c r="H541" s="265">
        <f t="shared" si="109"/>
        <v>5717</v>
      </c>
      <c r="I541" s="193">
        <f t="shared" si="109"/>
        <v>5684.52</v>
      </c>
      <c r="J541" s="161">
        <f t="shared" si="109"/>
        <v>99.43186986181564</v>
      </c>
      <c r="K541" s="241"/>
      <c r="L541" s="193"/>
      <c r="M541" s="161"/>
    </row>
    <row r="542" spans="1:13" s="17" customFormat="1" ht="11.25">
      <c r="A542" s="36"/>
      <c r="B542" s="36"/>
      <c r="C542" s="33">
        <v>4117</v>
      </c>
      <c r="D542" s="403" t="s">
        <v>104</v>
      </c>
      <c r="E542" s="241">
        <v>983</v>
      </c>
      <c r="F542" s="193">
        <v>688.85</v>
      </c>
      <c r="G542" s="161">
        <f t="shared" si="108"/>
        <v>70.07629704984741</v>
      </c>
      <c r="H542" s="265">
        <f t="shared" si="109"/>
        <v>983</v>
      </c>
      <c r="I542" s="193">
        <f t="shared" si="109"/>
        <v>688.85</v>
      </c>
      <c r="J542" s="161">
        <f t="shared" si="109"/>
        <v>70.07629704984741</v>
      </c>
      <c r="K542" s="241"/>
      <c r="L542" s="193"/>
      <c r="M542" s="161"/>
    </row>
    <row r="543" spans="1:13" s="17" customFormat="1" ht="11.25">
      <c r="A543" s="36"/>
      <c r="B543" s="36"/>
      <c r="C543" s="33">
        <v>4127</v>
      </c>
      <c r="D543" s="313" t="s">
        <v>34</v>
      </c>
      <c r="E543" s="241">
        <v>140</v>
      </c>
      <c r="F543" s="193">
        <v>139.27</v>
      </c>
      <c r="G543" s="161">
        <f t="shared" si="108"/>
        <v>99.47857142857144</v>
      </c>
      <c r="H543" s="265">
        <f t="shared" si="109"/>
        <v>140</v>
      </c>
      <c r="I543" s="193">
        <f t="shared" si="109"/>
        <v>139.27</v>
      </c>
      <c r="J543" s="161">
        <f t="shared" si="109"/>
        <v>99.47857142857144</v>
      </c>
      <c r="K543" s="241"/>
      <c r="L543" s="193"/>
      <c r="M543" s="161"/>
    </row>
    <row r="544" spans="1:13" s="17" customFormat="1" ht="11.25">
      <c r="A544" s="36"/>
      <c r="B544" s="36"/>
      <c r="C544" s="33">
        <v>4217</v>
      </c>
      <c r="D544" s="324" t="s">
        <v>35</v>
      </c>
      <c r="E544" s="241">
        <v>36000</v>
      </c>
      <c r="F544" s="193">
        <v>29542.29</v>
      </c>
      <c r="G544" s="161">
        <f t="shared" si="108"/>
        <v>82.06191666666666</v>
      </c>
      <c r="H544" s="265">
        <f t="shared" si="109"/>
        <v>36000</v>
      </c>
      <c r="I544" s="193">
        <f t="shared" si="109"/>
        <v>29542.29</v>
      </c>
      <c r="J544" s="161">
        <f t="shared" si="109"/>
        <v>82.06191666666666</v>
      </c>
      <c r="K544" s="241"/>
      <c r="L544" s="193"/>
      <c r="M544" s="161"/>
    </row>
    <row r="545" spans="1:13" s="17" customFormat="1" ht="11.25">
      <c r="A545" s="46"/>
      <c r="B545" s="46"/>
      <c r="C545" s="41">
        <v>4307</v>
      </c>
      <c r="D545" s="42" t="s">
        <v>92</v>
      </c>
      <c r="E545" s="244">
        <v>1960</v>
      </c>
      <c r="F545" s="190">
        <v>1438.87</v>
      </c>
      <c r="G545" s="160">
        <f t="shared" si="108"/>
        <v>73.41173469387755</v>
      </c>
      <c r="H545" s="266">
        <f t="shared" si="109"/>
        <v>1960</v>
      </c>
      <c r="I545" s="190">
        <f t="shared" si="109"/>
        <v>1438.87</v>
      </c>
      <c r="J545" s="160">
        <f t="shared" si="109"/>
        <v>73.41173469387755</v>
      </c>
      <c r="K545" s="244"/>
      <c r="L545" s="190"/>
      <c r="M545" s="160"/>
    </row>
    <row r="546" spans="1:13" s="17" customFormat="1" ht="25.5" customHeight="1">
      <c r="A546" s="431">
        <v>854</v>
      </c>
      <c r="B546" s="431"/>
      <c r="C546" s="431"/>
      <c r="D546" s="432" t="s">
        <v>75</v>
      </c>
      <c r="E546" s="287">
        <f>SUM(E563,E547,E566,E569+E571)</f>
        <v>4868389</v>
      </c>
      <c r="F546" s="346">
        <f>SUM(F563,F547,F566,F569+F571)</f>
        <v>4791872.480000001</v>
      </c>
      <c r="G546" s="433">
        <f aca="true" t="shared" si="110" ref="G546:G559">F546*100/E546</f>
        <v>98.4282989711792</v>
      </c>
      <c r="H546" s="434">
        <f>SUM(H563,H547,H566,H569+H571)</f>
        <v>4868389</v>
      </c>
      <c r="I546" s="346">
        <f>SUM(I563,I547,I566,I569+I571)</f>
        <v>4791872.480000001</v>
      </c>
      <c r="J546" s="433">
        <f aca="true" t="shared" si="111" ref="J546:J568">I546*100/H546</f>
        <v>98.4282989711792</v>
      </c>
      <c r="K546" s="434"/>
      <c r="L546" s="346"/>
      <c r="M546" s="433"/>
    </row>
    <row r="547" spans="1:13" s="17" customFormat="1" ht="15" customHeight="1">
      <c r="A547" s="105"/>
      <c r="B547" s="105">
        <v>85401</v>
      </c>
      <c r="C547" s="105"/>
      <c r="D547" s="107" t="s">
        <v>72</v>
      </c>
      <c r="E547" s="240">
        <f>SUM(E548:E562)</f>
        <v>4434924</v>
      </c>
      <c r="F547" s="108">
        <f>SUM(F548:F562)</f>
        <v>4416705.910000001</v>
      </c>
      <c r="G547" s="156">
        <f t="shared" si="110"/>
        <v>99.58921302822779</v>
      </c>
      <c r="H547" s="240">
        <f>SUM(H548:H562)</f>
        <v>4434924</v>
      </c>
      <c r="I547" s="108">
        <f>SUM(I548:I562)</f>
        <v>4416705.910000001</v>
      </c>
      <c r="J547" s="156">
        <f t="shared" si="111"/>
        <v>99.58921302822779</v>
      </c>
      <c r="K547" s="240"/>
      <c r="L547" s="108"/>
      <c r="M547" s="156"/>
    </row>
    <row r="548" spans="1:13" s="17" customFormat="1" ht="11.25">
      <c r="A548" s="33"/>
      <c r="B548" s="33"/>
      <c r="C548" s="31">
        <v>3020</v>
      </c>
      <c r="D548" s="32" t="s">
        <v>112</v>
      </c>
      <c r="E548" s="241">
        <v>235120</v>
      </c>
      <c r="F548" s="193">
        <v>231293.94</v>
      </c>
      <c r="G548" s="161">
        <f t="shared" si="110"/>
        <v>98.37272031303165</v>
      </c>
      <c r="H548" s="265">
        <f aca="true" t="shared" si="112" ref="H548:H562">E548</f>
        <v>235120</v>
      </c>
      <c r="I548" s="193">
        <f aca="true" t="shared" si="113" ref="I548:I562">F548</f>
        <v>231293.94</v>
      </c>
      <c r="J548" s="161">
        <f t="shared" si="111"/>
        <v>98.37272031303165</v>
      </c>
      <c r="K548" s="265"/>
      <c r="L548" s="193"/>
      <c r="M548" s="168"/>
    </row>
    <row r="549" spans="1:13" s="17" customFormat="1" ht="11.25">
      <c r="A549" s="36"/>
      <c r="B549" s="36"/>
      <c r="C549" s="31">
        <v>4010</v>
      </c>
      <c r="D549" s="32" t="s">
        <v>41</v>
      </c>
      <c r="E549" s="241">
        <v>2948897</v>
      </c>
      <c r="F549" s="193">
        <v>2948873.09</v>
      </c>
      <c r="G549" s="161">
        <f t="shared" si="110"/>
        <v>99.99918918836433</v>
      </c>
      <c r="H549" s="265">
        <f t="shared" si="112"/>
        <v>2948897</v>
      </c>
      <c r="I549" s="193">
        <f t="shared" si="113"/>
        <v>2948873.09</v>
      </c>
      <c r="J549" s="161">
        <f t="shared" si="111"/>
        <v>99.99918918836433</v>
      </c>
      <c r="K549" s="265"/>
      <c r="L549" s="193"/>
      <c r="M549" s="168"/>
    </row>
    <row r="550" spans="1:13" s="17" customFormat="1" ht="11.25">
      <c r="A550" s="46"/>
      <c r="B550" s="46"/>
      <c r="C550" s="41">
        <v>4040</v>
      </c>
      <c r="D550" s="42" t="s">
        <v>110</v>
      </c>
      <c r="E550" s="244">
        <v>197103</v>
      </c>
      <c r="F550" s="190">
        <v>197099.78</v>
      </c>
      <c r="G550" s="160">
        <f t="shared" si="110"/>
        <v>99.9983663363825</v>
      </c>
      <c r="H550" s="266">
        <f t="shared" si="112"/>
        <v>197103</v>
      </c>
      <c r="I550" s="190">
        <f t="shared" si="113"/>
        <v>197099.78</v>
      </c>
      <c r="J550" s="160">
        <f t="shared" si="111"/>
        <v>99.9983663363825</v>
      </c>
      <c r="K550" s="266"/>
      <c r="L550" s="190"/>
      <c r="M550" s="176"/>
    </row>
    <row r="551" spans="1:13" s="17" customFormat="1" ht="11.25">
      <c r="A551" s="36"/>
      <c r="B551" s="36"/>
      <c r="C551" s="19">
        <v>4110</v>
      </c>
      <c r="D551" s="21" t="s">
        <v>71</v>
      </c>
      <c r="E551" s="246">
        <v>549275</v>
      </c>
      <c r="F551" s="192">
        <v>549239.99</v>
      </c>
      <c r="G551" s="162">
        <f t="shared" si="110"/>
        <v>99.99362614355286</v>
      </c>
      <c r="H551" s="264">
        <f t="shared" si="112"/>
        <v>549275</v>
      </c>
      <c r="I551" s="192">
        <f t="shared" si="113"/>
        <v>549239.99</v>
      </c>
      <c r="J551" s="162">
        <f t="shared" si="111"/>
        <v>99.99362614355286</v>
      </c>
      <c r="K551" s="264"/>
      <c r="L551" s="192"/>
      <c r="M551" s="177"/>
    </row>
    <row r="552" spans="1:13" s="17" customFormat="1" ht="11.25">
      <c r="A552" s="36"/>
      <c r="B552" s="36"/>
      <c r="C552" s="31">
        <v>4120</v>
      </c>
      <c r="D552" s="32" t="s">
        <v>34</v>
      </c>
      <c r="E552" s="241">
        <v>59500</v>
      </c>
      <c r="F552" s="193">
        <v>59497.68</v>
      </c>
      <c r="G552" s="161">
        <f t="shared" si="110"/>
        <v>99.99610084033614</v>
      </c>
      <c r="H552" s="265">
        <f t="shared" si="112"/>
        <v>59500</v>
      </c>
      <c r="I552" s="193">
        <f t="shared" si="113"/>
        <v>59497.68</v>
      </c>
      <c r="J552" s="161">
        <f t="shared" si="111"/>
        <v>99.99610084033614</v>
      </c>
      <c r="K552" s="265"/>
      <c r="L552" s="193"/>
      <c r="M552" s="168"/>
    </row>
    <row r="553" spans="1:13" s="17" customFormat="1" ht="11.25">
      <c r="A553" s="36"/>
      <c r="B553" s="36"/>
      <c r="C553" s="31">
        <v>4190</v>
      </c>
      <c r="D553" s="32" t="s">
        <v>215</v>
      </c>
      <c r="E553" s="241">
        <v>2500</v>
      </c>
      <c r="F553" s="193">
        <v>2500</v>
      </c>
      <c r="G553" s="161">
        <f t="shared" si="110"/>
        <v>100</v>
      </c>
      <c r="H553" s="265">
        <f t="shared" si="112"/>
        <v>2500</v>
      </c>
      <c r="I553" s="193">
        <f t="shared" si="113"/>
        <v>2500</v>
      </c>
      <c r="J553" s="161">
        <f t="shared" si="111"/>
        <v>100</v>
      </c>
      <c r="K553" s="265"/>
      <c r="L553" s="193"/>
      <c r="M553" s="168"/>
    </row>
    <row r="554" spans="1:13" s="17" customFormat="1" ht="11.25">
      <c r="A554" s="36"/>
      <c r="B554" s="36"/>
      <c r="C554" s="31">
        <v>4210</v>
      </c>
      <c r="D554" s="32" t="s">
        <v>35</v>
      </c>
      <c r="E554" s="241">
        <v>101600</v>
      </c>
      <c r="F554" s="193">
        <v>96238.7</v>
      </c>
      <c r="G554" s="161">
        <f t="shared" si="110"/>
        <v>94.72312992125984</v>
      </c>
      <c r="H554" s="265">
        <f t="shared" si="112"/>
        <v>101600</v>
      </c>
      <c r="I554" s="193">
        <f t="shared" si="113"/>
        <v>96238.7</v>
      </c>
      <c r="J554" s="161">
        <f t="shared" si="111"/>
        <v>94.72312992125984</v>
      </c>
      <c r="K554" s="265"/>
      <c r="L554" s="193"/>
      <c r="M554" s="168"/>
    </row>
    <row r="555" spans="1:13" s="17" customFormat="1" ht="21">
      <c r="A555" s="36"/>
      <c r="B555" s="36"/>
      <c r="C555" s="31">
        <v>4240</v>
      </c>
      <c r="D555" s="32" t="s">
        <v>60</v>
      </c>
      <c r="E555" s="241">
        <v>10500</v>
      </c>
      <c r="F555" s="193">
        <v>9164.5</v>
      </c>
      <c r="G555" s="161">
        <f t="shared" si="110"/>
        <v>87.28095238095239</v>
      </c>
      <c r="H555" s="265">
        <f t="shared" si="112"/>
        <v>10500</v>
      </c>
      <c r="I555" s="193">
        <f t="shared" si="113"/>
        <v>9164.5</v>
      </c>
      <c r="J555" s="161">
        <f t="shared" si="111"/>
        <v>87.28095238095239</v>
      </c>
      <c r="K555" s="265"/>
      <c r="L555" s="193"/>
      <c r="M555" s="168"/>
    </row>
    <row r="556" spans="1:13" s="17" customFormat="1" ht="11.25">
      <c r="A556" s="36"/>
      <c r="B556" s="36"/>
      <c r="C556" s="31">
        <v>4270</v>
      </c>
      <c r="D556" s="32" t="s">
        <v>65</v>
      </c>
      <c r="E556" s="241">
        <v>94800</v>
      </c>
      <c r="F556" s="193">
        <v>94144.2</v>
      </c>
      <c r="G556" s="161">
        <f t="shared" si="110"/>
        <v>99.30822784810127</v>
      </c>
      <c r="H556" s="265">
        <f t="shared" si="112"/>
        <v>94800</v>
      </c>
      <c r="I556" s="193">
        <f t="shared" si="113"/>
        <v>94144.2</v>
      </c>
      <c r="J556" s="161">
        <f t="shared" si="111"/>
        <v>99.30822784810127</v>
      </c>
      <c r="K556" s="265"/>
      <c r="L556" s="193"/>
      <c r="M556" s="168"/>
    </row>
    <row r="557" spans="1:13" s="17" customFormat="1" ht="11.25">
      <c r="A557" s="36"/>
      <c r="B557" s="36"/>
      <c r="C557" s="31">
        <v>4280</v>
      </c>
      <c r="D557" s="32" t="s">
        <v>51</v>
      </c>
      <c r="E557" s="241">
        <v>1000</v>
      </c>
      <c r="F557" s="193">
        <v>110</v>
      </c>
      <c r="G557" s="161">
        <f t="shared" si="110"/>
        <v>11</v>
      </c>
      <c r="H557" s="265">
        <f t="shared" si="112"/>
        <v>1000</v>
      </c>
      <c r="I557" s="193">
        <f t="shared" si="113"/>
        <v>110</v>
      </c>
      <c r="J557" s="161">
        <f t="shared" si="111"/>
        <v>11</v>
      </c>
      <c r="K557" s="265"/>
      <c r="L557" s="193"/>
      <c r="M557" s="168"/>
    </row>
    <row r="558" spans="1:13" s="17" customFormat="1" ht="11.25">
      <c r="A558" s="36"/>
      <c r="B558" s="36"/>
      <c r="C558" s="31">
        <v>4300</v>
      </c>
      <c r="D558" s="32" t="s">
        <v>39</v>
      </c>
      <c r="E558" s="241">
        <v>55750</v>
      </c>
      <c r="F558" s="193">
        <v>50945.92</v>
      </c>
      <c r="G558" s="161">
        <f t="shared" si="110"/>
        <v>91.38281614349776</v>
      </c>
      <c r="H558" s="265">
        <f t="shared" si="112"/>
        <v>55750</v>
      </c>
      <c r="I558" s="193">
        <f t="shared" si="113"/>
        <v>50945.92</v>
      </c>
      <c r="J558" s="161">
        <f t="shared" si="111"/>
        <v>91.38281614349776</v>
      </c>
      <c r="K558" s="265"/>
      <c r="L558" s="193"/>
      <c r="M558" s="168"/>
    </row>
    <row r="559" spans="1:13" s="17" customFormat="1" ht="15" customHeight="1">
      <c r="A559" s="36"/>
      <c r="B559" s="36"/>
      <c r="C559" s="31">
        <v>4360</v>
      </c>
      <c r="D559" s="32" t="s">
        <v>209</v>
      </c>
      <c r="E559" s="241">
        <v>1300</v>
      </c>
      <c r="F559" s="193">
        <v>814.11</v>
      </c>
      <c r="G559" s="161">
        <f t="shared" si="110"/>
        <v>62.62384615384615</v>
      </c>
      <c r="H559" s="265">
        <f t="shared" si="112"/>
        <v>1300</v>
      </c>
      <c r="I559" s="193">
        <f t="shared" si="113"/>
        <v>814.11</v>
      </c>
      <c r="J559" s="161">
        <f t="shared" si="111"/>
        <v>62.62384615384615</v>
      </c>
      <c r="K559" s="265"/>
      <c r="L559" s="193"/>
      <c r="M559" s="168"/>
    </row>
    <row r="560" spans="1:13" s="17" customFormat="1" ht="11.25">
      <c r="A560" s="36"/>
      <c r="B560" s="36"/>
      <c r="C560" s="31">
        <v>4410</v>
      </c>
      <c r="D560" s="32" t="s">
        <v>68</v>
      </c>
      <c r="E560" s="241">
        <v>1000</v>
      </c>
      <c r="F560" s="193">
        <v>455</v>
      </c>
      <c r="G560" s="161">
        <f aca="true" t="shared" si="114" ref="G560:G568">F560*100/E560</f>
        <v>45.5</v>
      </c>
      <c r="H560" s="265">
        <f t="shared" si="112"/>
        <v>1000</v>
      </c>
      <c r="I560" s="193">
        <f t="shared" si="113"/>
        <v>455</v>
      </c>
      <c r="J560" s="161">
        <f t="shared" si="111"/>
        <v>45.5</v>
      </c>
      <c r="K560" s="265"/>
      <c r="L560" s="193"/>
      <c r="M560" s="168"/>
    </row>
    <row r="561" spans="1:13" s="17" customFormat="1" ht="21">
      <c r="A561" s="36"/>
      <c r="B561" s="36"/>
      <c r="C561" s="31">
        <v>4440</v>
      </c>
      <c r="D561" s="32" t="s">
        <v>63</v>
      </c>
      <c r="E561" s="241">
        <v>176079</v>
      </c>
      <c r="F561" s="193">
        <v>176079</v>
      </c>
      <c r="G561" s="161">
        <f t="shared" si="114"/>
        <v>100</v>
      </c>
      <c r="H561" s="265">
        <f t="shared" si="112"/>
        <v>176079</v>
      </c>
      <c r="I561" s="193">
        <f t="shared" si="113"/>
        <v>176079</v>
      </c>
      <c r="J561" s="161">
        <f t="shared" si="111"/>
        <v>100</v>
      </c>
      <c r="K561" s="265"/>
      <c r="L561" s="193"/>
      <c r="M561" s="168"/>
    </row>
    <row r="562" spans="1:13" s="17" customFormat="1" ht="21">
      <c r="A562" s="46"/>
      <c r="B562" s="46"/>
      <c r="C562" s="46">
        <v>4700</v>
      </c>
      <c r="D562" s="94" t="s">
        <v>171</v>
      </c>
      <c r="E562" s="247">
        <v>500</v>
      </c>
      <c r="F562" s="187">
        <v>250</v>
      </c>
      <c r="G562" s="166">
        <f t="shared" si="114"/>
        <v>50</v>
      </c>
      <c r="H562" s="269">
        <f t="shared" si="112"/>
        <v>500</v>
      </c>
      <c r="I562" s="202">
        <f t="shared" si="113"/>
        <v>250</v>
      </c>
      <c r="J562" s="166">
        <f t="shared" si="111"/>
        <v>50</v>
      </c>
      <c r="K562" s="259"/>
      <c r="L562" s="187"/>
      <c r="M562" s="175"/>
    </row>
    <row r="563" spans="1:13" s="17" customFormat="1" ht="15" customHeight="1">
      <c r="A563" s="105"/>
      <c r="B563" s="105">
        <v>85404</v>
      </c>
      <c r="C563" s="105"/>
      <c r="D563" s="107" t="s">
        <v>203</v>
      </c>
      <c r="E563" s="240">
        <f>E564+E565</f>
        <v>168000</v>
      </c>
      <c r="F563" s="108">
        <f>F564+F565</f>
        <v>143507.34</v>
      </c>
      <c r="G563" s="156">
        <f t="shared" si="114"/>
        <v>85.42103571428571</v>
      </c>
      <c r="H563" s="240">
        <f>H564+H565</f>
        <v>168000</v>
      </c>
      <c r="I563" s="108">
        <f>I564+I565</f>
        <v>143507.34</v>
      </c>
      <c r="J563" s="156">
        <f t="shared" si="111"/>
        <v>85.42103571428571</v>
      </c>
      <c r="K563" s="240"/>
      <c r="L563" s="108"/>
      <c r="M563" s="156"/>
    </row>
    <row r="564" spans="1:13" s="17" customFormat="1" ht="21">
      <c r="A564" s="33"/>
      <c r="B564" s="33"/>
      <c r="C564" s="31">
        <v>2540</v>
      </c>
      <c r="D564" s="32" t="s">
        <v>100</v>
      </c>
      <c r="E564" s="241">
        <v>137000</v>
      </c>
      <c r="F564" s="193">
        <v>129787</v>
      </c>
      <c r="G564" s="161">
        <f t="shared" si="114"/>
        <v>94.73503649635036</v>
      </c>
      <c r="H564" s="265">
        <f>E564</f>
        <v>137000</v>
      </c>
      <c r="I564" s="193">
        <f>F564</f>
        <v>129787</v>
      </c>
      <c r="J564" s="161">
        <f t="shared" si="111"/>
        <v>94.73503649635036</v>
      </c>
      <c r="K564" s="265"/>
      <c r="L564" s="193"/>
      <c r="M564" s="168"/>
    </row>
    <row r="565" spans="1:13" s="17" customFormat="1" ht="42">
      <c r="A565" s="46"/>
      <c r="B565" s="46"/>
      <c r="C565" s="46">
        <v>2590</v>
      </c>
      <c r="D565" s="94" t="s">
        <v>211</v>
      </c>
      <c r="E565" s="247">
        <v>31000</v>
      </c>
      <c r="F565" s="187">
        <v>13720.34</v>
      </c>
      <c r="G565" s="166">
        <f t="shared" si="114"/>
        <v>44.25916129032258</v>
      </c>
      <c r="H565" s="269">
        <f>E565</f>
        <v>31000</v>
      </c>
      <c r="I565" s="202">
        <f>F565</f>
        <v>13720.34</v>
      </c>
      <c r="J565" s="166">
        <f t="shared" si="111"/>
        <v>44.25916129032258</v>
      </c>
      <c r="K565" s="259"/>
      <c r="L565" s="187"/>
      <c r="M565" s="175"/>
    </row>
    <row r="566" spans="1:13" s="18" customFormat="1" ht="31.5">
      <c r="A566" s="105"/>
      <c r="B566" s="105">
        <v>85412</v>
      </c>
      <c r="C566" s="105"/>
      <c r="D566" s="107" t="s">
        <v>134</v>
      </c>
      <c r="E566" s="240">
        <f>SUM(E567:E568)</f>
        <v>24000</v>
      </c>
      <c r="F566" s="108">
        <f>SUM(F567:F568)</f>
        <v>22169.23</v>
      </c>
      <c r="G566" s="156">
        <f t="shared" si="114"/>
        <v>92.37179166666667</v>
      </c>
      <c r="H566" s="240">
        <f>SUM(H567:H568)</f>
        <v>24000</v>
      </c>
      <c r="I566" s="108">
        <f>SUM(I567:I568)</f>
        <v>22169.23</v>
      </c>
      <c r="J566" s="156">
        <f t="shared" si="111"/>
        <v>92.37179166666667</v>
      </c>
      <c r="K566" s="240"/>
      <c r="L566" s="108"/>
      <c r="M566" s="156"/>
    </row>
    <row r="567" spans="1:13" s="17" customFormat="1" ht="11.25">
      <c r="A567" s="33"/>
      <c r="B567" s="33"/>
      <c r="C567" s="31">
        <v>4210</v>
      </c>
      <c r="D567" s="32" t="s">
        <v>47</v>
      </c>
      <c r="E567" s="241">
        <v>3040</v>
      </c>
      <c r="F567" s="193">
        <v>2885.23</v>
      </c>
      <c r="G567" s="161">
        <f t="shared" si="114"/>
        <v>94.90888157894737</v>
      </c>
      <c r="H567" s="265">
        <f>E567</f>
        <v>3040</v>
      </c>
      <c r="I567" s="193">
        <f>F567</f>
        <v>2885.23</v>
      </c>
      <c r="J567" s="161">
        <f t="shared" si="111"/>
        <v>94.90888157894737</v>
      </c>
      <c r="K567" s="265"/>
      <c r="L567" s="193"/>
      <c r="M567" s="168"/>
    </row>
    <row r="568" spans="1:13" s="17" customFormat="1" ht="11.25">
      <c r="A568" s="46"/>
      <c r="B568" s="46"/>
      <c r="C568" s="33">
        <v>4300</v>
      </c>
      <c r="D568" s="34" t="s">
        <v>39</v>
      </c>
      <c r="E568" s="245">
        <v>20960</v>
      </c>
      <c r="F568" s="194">
        <v>19284</v>
      </c>
      <c r="G568" s="164">
        <f t="shared" si="114"/>
        <v>92.00381679389314</v>
      </c>
      <c r="H568" s="263">
        <f>E568</f>
        <v>20960</v>
      </c>
      <c r="I568" s="194">
        <f>F568</f>
        <v>19284</v>
      </c>
      <c r="J568" s="164">
        <f t="shared" si="111"/>
        <v>92.00381679389314</v>
      </c>
      <c r="K568" s="263"/>
      <c r="L568" s="194"/>
      <c r="M568" s="178"/>
    </row>
    <row r="569" spans="1:13" s="17" customFormat="1" ht="15.75" customHeight="1">
      <c r="A569" s="105"/>
      <c r="B569" s="105">
        <v>85415</v>
      </c>
      <c r="C569" s="105"/>
      <c r="D569" s="107" t="s">
        <v>74</v>
      </c>
      <c r="E569" s="240">
        <f aca="true" t="shared" si="115" ref="E569:J569">E570</f>
        <v>65485</v>
      </c>
      <c r="F569" s="108">
        <f t="shared" si="115"/>
        <v>37640</v>
      </c>
      <c r="G569" s="108">
        <f t="shared" si="115"/>
        <v>57.47881194166603</v>
      </c>
      <c r="H569" s="240">
        <f t="shared" si="115"/>
        <v>65485</v>
      </c>
      <c r="I569" s="108">
        <f t="shared" si="115"/>
        <v>37640</v>
      </c>
      <c r="J569" s="108">
        <f t="shared" si="115"/>
        <v>57.47881194166603</v>
      </c>
      <c r="K569" s="240"/>
      <c r="L569" s="108"/>
      <c r="M569" s="156"/>
    </row>
    <row r="570" spans="1:13" s="17" customFormat="1" ht="11.25">
      <c r="A570" s="41"/>
      <c r="B570" s="41"/>
      <c r="C570" s="41">
        <v>3240</v>
      </c>
      <c r="D570" s="42" t="s">
        <v>124</v>
      </c>
      <c r="E570" s="244">
        <v>65485</v>
      </c>
      <c r="F570" s="190">
        <v>37640</v>
      </c>
      <c r="G570" s="160">
        <f>F570*100/E570</f>
        <v>57.47881194166603</v>
      </c>
      <c r="H570" s="266">
        <f>E570</f>
        <v>65485</v>
      </c>
      <c r="I570" s="190">
        <f>F570</f>
        <v>37640</v>
      </c>
      <c r="J570" s="160">
        <f>I570*100/H570</f>
        <v>57.47881194166603</v>
      </c>
      <c r="K570" s="266"/>
      <c r="L570" s="190"/>
      <c r="M570" s="176"/>
    </row>
    <row r="571" spans="1:13" s="17" customFormat="1" ht="21">
      <c r="A571" s="105"/>
      <c r="B571" s="105">
        <v>85416</v>
      </c>
      <c r="C571" s="105"/>
      <c r="D571" s="107" t="s">
        <v>236</v>
      </c>
      <c r="E571" s="240">
        <f aca="true" t="shared" si="116" ref="E571:J571">E572</f>
        <v>175980</v>
      </c>
      <c r="F571" s="108">
        <f t="shared" si="116"/>
        <v>171850</v>
      </c>
      <c r="G571" s="108">
        <f t="shared" si="116"/>
        <v>97.65314240254574</v>
      </c>
      <c r="H571" s="240">
        <f t="shared" si="116"/>
        <v>175980</v>
      </c>
      <c r="I571" s="108">
        <f t="shared" si="116"/>
        <v>171850</v>
      </c>
      <c r="J571" s="108">
        <f t="shared" si="116"/>
        <v>97.65314240254574</v>
      </c>
      <c r="K571" s="240"/>
      <c r="L571" s="108"/>
      <c r="M571" s="394"/>
    </row>
    <row r="572" spans="1:13" s="17" customFormat="1" ht="11.25">
      <c r="A572" s="41"/>
      <c r="B572" s="41"/>
      <c r="C572" s="41">
        <v>3240</v>
      </c>
      <c r="D572" s="42" t="s">
        <v>124</v>
      </c>
      <c r="E572" s="244">
        <v>175980</v>
      </c>
      <c r="F572" s="190">
        <v>171850</v>
      </c>
      <c r="G572" s="160">
        <f>F572*100/E572</f>
        <v>97.65314240254574</v>
      </c>
      <c r="H572" s="266">
        <f>E572</f>
        <v>175980</v>
      </c>
      <c r="I572" s="190">
        <f>F572</f>
        <v>171850</v>
      </c>
      <c r="J572" s="160">
        <f>I572*100/H572</f>
        <v>97.65314240254574</v>
      </c>
      <c r="K572" s="266"/>
      <c r="L572" s="190"/>
      <c r="M572" s="498"/>
    </row>
    <row r="573" spans="1:13" s="17" customFormat="1" ht="26.25" customHeight="1">
      <c r="A573" s="119">
        <v>855</v>
      </c>
      <c r="B573" s="119"/>
      <c r="C573" s="119"/>
      <c r="D573" s="120" t="s">
        <v>237</v>
      </c>
      <c r="E573" s="287">
        <f>SUM(E574,E582,E594,E599,E612,E614,E616,E618,E632)</f>
        <v>26385726</v>
      </c>
      <c r="F573" s="346">
        <f>SUM(F574,F582,F594,F599,F612,F614,F616,F618,F632)</f>
        <v>26339778.580000002</v>
      </c>
      <c r="G573" s="167">
        <f>F573*100/E573</f>
        <v>99.82586258949252</v>
      </c>
      <c r="H573" s="251">
        <f>SUM(H574,H582,H599,H612,H614,H616,H618,H632,H594)</f>
        <v>26385726</v>
      </c>
      <c r="I573" s="201">
        <f>SUM(I574,I582,I599,I612,I614,I616,I618,I632,I594)</f>
        <v>26339778.580000002</v>
      </c>
      <c r="J573" s="167">
        <f>I573*100/H573</f>
        <v>99.82586258949252</v>
      </c>
      <c r="K573" s="251"/>
      <c r="L573" s="201"/>
      <c r="M573" s="167"/>
    </row>
    <row r="574" spans="1:13" s="17" customFormat="1" ht="14.25" customHeight="1">
      <c r="A574" s="105"/>
      <c r="B574" s="105">
        <v>85501</v>
      </c>
      <c r="C574" s="105"/>
      <c r="D574" s="107" t="s">
        <v>238</v>
      </c>
      <c r="E574" s="240">
        <f>SUM(E575:E581)</f>
        <v>19908500</v>
      </c>
      <c r="F574" s="108">
        <f>SUM(F575:F581)</f>
        <v>19899290.57</v>
      </c>
      <c r="G574" s="108">
        <f>F574*100/E574</f>
        <v>99.95374121606349</v>
      </c>
      <c r="H574" s="240">
        <f>SUM(H575:H581)</f>
        <v>19908500</v>
      </c>
      <c r="I574" s="108">
        <f>SUM(I575:I581)</f>
        <v>19899290.57</v>
      </c>
      <c r="J574" s="108">
        <f>I574*100/H574</f>
        <v>99.95374121606349</v>
      </c>
      <c r="K574" s="240"/>
      <c r="L574" s="108"/>
      <c r="M574" s="156"/>
    </row>
    <row r="575" spans="1:13" s="17" customFormat="1" ht="14.25" customHeight="1">
      <c r="A575" s="33"/>
      <c r="B575" s="33"/>
      <c r="C575" s="31">
        <v>2950</v>
      </c>
      <c r="D575" s="32" t="s">
        <v>279</v>
      </c>
      <c r="E575" s="241">
        <v>4500</v>
      </c>
      <c r="F575" s="193">
        <v>4500</v>
      </c>
      <c r="G575" s="161">
        <f>F575*100/E575</f>
        <v>100</v>
      </c>
      <c r="H575" s="265">
        <f>E575</f>
        <v>4500</v>
      </c>
      <c r="I575" s="193">
        <f>F575</f>
        <v>4500</v>
      </c>
      <c r="J575" s="161">
        <f>G575</f>
        <v>100</v>
      </c>
      <c r="K575" s="265"/>
      <c r="L575" s="193"/>
      <c r="M575" s="168"/>
    </row>
    <row r="576" spans="1:13" s="17" customFormat="1" ht="11.25">
      <c r="A576" s="36"/>
      <c r="B576" s="36"/>
      <c r="C576" s="31">
        <v>3110</v>
      </c>
      <c r="D576" s="32" t="s">
        <v>124</v>
      </c>
      <c r="E576" s="241">
        <v>19702209</v>
      </c>
      <c r="F576" s="193">
        <v>19695844.4</v>
      </c>
      <c r="G576" s="161">
        <f aca="true" t="shared" si="117" ref="G576:G581">F576*100/E576</f>
        <v>99.96769600809735</v>
      </c>
      <c r="H576" s="265">
        <f aca="true" t="shared" si="118" ref="H576:I581">E576</f>
        <v>19702209</v>
      </c>
      <c r="I576" s="193">
        <f t="shared" si="118"/>
        <v>19695844.4</v>
      </c>
      <c r="J576" s="161">
        <f aca="true" t="shared" si="119" ref="J576:J581">I576*100/H576</f>
        <v>99.96769600809735</v>
      </c>
      <c r="K576" s="265"/>
      <c r="L576" s="193"/>
      <c r="M576" s="168"/>
    </row>
    <row r="577" spans="1:13" s="17" customFormat="1" ht="11.25">
      <c r="A577" s="36"/>
      <c r="B577" s="36"/>
      <c r="C577" s="31">
        <v>4010</v>
      </c>
      <c r="D577" s="32" t="s">
        <v>41</v>
      </c>
      <c r="E577" s="241">
        <v>136446</v>
      </c>
      <c r="F577" s="193">
        <v>136445.36</v>
      </c>
      <c r="G577" s="161">
        <f>F577*100/E577</f>
        <v>99.99953094997286</v>
      </c>
      <c r="H577" s="265">
        <f t="shared" si="118"/>
        <v>136446</v>
      </c>
      <c r="I577" s="193">
        <f t="shared" si="118"/>
        <v>136445.36</v>
      </c>
      <c r="J577" s="161">
        <f t="shared" si="119"/>
        <v>99.99953094997286</v>
      </c>
      <c r="K577" s="265"/>
      <c r="L577" s="193"/>
      <c r="M577" s="168"/>
    </row>
    <row r="578" spans="1:13" s="17" customFormat="1" ht="11.25">
      <c r="A578" s="46"/>
      <c r="B578" s="46"/>
      <c r="C578" s="41">
        <v>4110</v>
      </c>
      <c r="D578" s="42" t="s">
        <v>71</v>
      </c>
      <c r="E578" s="244">
        <v>22153</v>
      </c>
      <c r="F578" s="190">
        <v>22152.66</v>
      </c>
      <c r="G578" s="160">
        <f t="shared" si="117"/>
        <v>99.99846521915768</v>
      </c>
      <c r="H578" s="266">
        <f t="shared" si="118"/>
        <v>22153</v>
      </c>
      <c r="I578" s="190">
        <f t="shared" si="118"/>
        <v>22152.66</v>
      </c>
      <c r="J578" s="160">
        <f t="shared" si="119"/>
        <v>99.99846521915768</v>
      </c>
      <c r="K578" s="266"/>
      <c r="L578" s="190"/>
      <c r="M578" s="176"/>
    </row>
    <row r="579" spans="1:13" s="17" customFormat="1" ht="11.25">
      <c r="A579" s="36"/>
      <c r="B579" s="36"/>
      <c r="C579" s="19">
        <v>4120</v>
      </c>
      <c r="D579" s="21" t="s">
        <v>34</v>
      </c>
      <c r="E579" s="246">
        <v>1985</v>
      </c>
      <c r="F579" s="192">
        <v>1984.94</v>
      </c>
      <c r="G579" s="162">
        <f t="shared" si="117"/>
        <v>99.99697732997481</v>
      </c>
      <c r="H579" s="264">
        <f t="shared" si="118"/>
        <v>1985</v>
      </c>
      <c r="I579" s="192">
        <f t="shared" si="118"/>
        <v>1984.94</v>
      </c>
      <c r="J579" s="162">
        <f t="shared" si="119"/>
        <v>99.99697732997481</v>
      </c>
      <c r="K579" s="264"/>
      <c r="L579" s="192"/>
      <c r="M579" s="177"/>
    </row>
    <row r="580" spans="1:13" s="17" customFormat="1" ht="11.25">
      <c r="A580" s="36"/>
      <c r="B580" s="36"/>
      <c r="C580" s="31">
        <v>4210</v>
      </c>
      <c r="D580" s="313" t="s">
        <v>35</v>
      </c>
      <c r="E580" s="241">
        <v>19542</v>
      </c>
      <c r="F580" s="193">
        <v>17698.41</v>
      </c>
      <c r="G580" s="161">
        <f t="shared" si="117"/>
        <v>90.56601166717839</v>
      </c>
      <c r="H580" s="265">
        <f t="shared" si="118"/>
        <v>19542</v>
      </c>
      <c r="I580" s="193">
        <f t="shared" si="118"/>
        <v>17698.41</v>
      </c>
      <c r="J580" s="161">
        <f t="shared" si="119"/>
        <v>90.56601166717839</v>
      </c>
      <c r="K580" s="265"/>
      <c r="L580" s="193"/>
      <c r="M580" s="168"/>
    </row>
    <row r="581" spans="1:13" s="17" customFormat="1" ht="11.25">
      <c r="A581" s="36"/>
      <c r="B581" s="36"/>
      <c r="C581" s="31">
        <v>4300</v>
      </c>
      <c r="D581" s="313" t="s">
        <v>39</v>
      </c>
      <c r="E581" s="241">
        <v>21665</v>
      </c>
      <c r="F581" s="193">
        <v>20664.8</v>
      </c>
      <c r="G581" s="161">
        <f t="shared" si="117"/>
        <v>95.38333717978306</v>
      </c>
      <c r="H581" s="265">
        <f t="shared" si="118"/>
        <v>21665</v>
      </c>
      <c r="I581" s="193">
        <f t="shared" si="118"/>
        <v>20664.8</v>
      </c>
      <c r="J581" s="161">
        <f t="shared" si="119"/>
        <v>95.38333717978306</v>
      </c>
      <c r="K581" s="265"/>
      <c r="L581" s="193"/>
      <c r="M581" s="168"/>
    </row>
    <row r="582" spans="1:13" s="17" customFormat="1" ht="45" customHeight="1">
      <c r="A582" s="105"/>
      <c r="B582" s="105">
        <v>85502</v>
      </c>
      <c r="C582" s="105"/>
      <c r="D582" s="107" t="s">
        <v>239</v>
      </c>
      <c r="E582" s="240">
        <f>SUM(E583:E593)</f>
        <v>4374124</v>
      </c>
      <c r="F582" s="108">
        <f>SUM(F583:F593)</f>
        <v>4372088.329999999</v>
      </c>
      <c r="G582" s="108">
        <f>F582*100/E582</f>
        <v>99.95346108157884</v>
      </c>
      <c r="H582" s="240">
        <f>SUM(H583:H593)</f>
        <v>4374124</v>
      </c>
      <c r="I582" s="108">
        <f>SUM(I583:I593)</f>
        <v>4372088.329999999</v>
      </c>
      <c r="J582" s="108">
        <f>I582*100/H582</f>
        <v>99.95346108157884</v>
      </c>
      <c r="K582" s="240"/>
      <c r="L582" s="108"/>
      <c r="M582" s="156"/>
    </row>
    <row r="583" spans="1:13" s="17" customFormat="1" ht="14.25" customHeight="1">
      <c r="A583" s="33"/>
      <c r="B583" s="33"/>
      <c r="C583" s="31">
        <v>2950</v>
      </c>
      <c r="D583" s="32" t="s">
        <v>279</v>
      </c>
      <c r="E583" s="241">
        <v>1000</v>
      </c>
      <c r="F583" s="193">
        <v>841.67</v>
      </c>
      <c r="G583" s="161">
        <f>F583*100/E583</f>
        <v>84.167</v>
      </c>
      <c r="H583" s="265">
        <f>E583</f>
        <v>1000</v>
      </c>
      <c r="I583" s="193">
        <f>F583</f>
        <v>841.67</v>
      </c>
      <c r="J583" s="193">
        <f>G583</f>
        <v>84.167</v>
      </c>
      <c r="K583" s="265"/>
      <c r="L583" s="193"/>
      <c r="M583" s="168"/>
    </row>
    <row r="584" spans="1:13" s="17" customFormat="1" ht="11.25">
      <c r="A584" s="36"/>
      <c r="B584" s="36"/>
      <c r="C584" s="31">
        <v>3110</v>
      </c>
      <c r="D584" s="313" t="s">
        <v>124</v>
      </c>
      <c r="E584" s="241">
        <v>3929682</v>
      </c>
      <c r="F584" s="193">
        <v>3929394.55</v>
      </c>
      <c r="G584" s="161">
        <f aca="true" t="shared" si="120" ref="G584:G593">F584*100/E584</f>
        <v>99.99268515874822</v>
      </c>
      <c r="H584" s="265">
        <f aca="true" t="shared" si="121" ref="H584:H593">E584</f>
        <v>3929682</v>
      </c>
      <c r="I584" s="193">
        <f aca="true" t="shared" si="122" ref="I584:I593">F584</f>
        <v>3929394.55</v>
      </c>
      <c r="J584" s="161">
        <f aca="true" t="shared" si="123" ref="J584:J593">I584*100/H584</f>
        <v>99.99268515874822</v>
      </c>
      <c r="K584" s="265"/>
      <c r="L584" s="193"/>
      <c r="M584" s="168"/>
    </row>
    <row r="585" spans="1:13" s="17" customFormat="1" ht="11.25">
      <c r="A585" s="36"/>
      <c r="B585" s="36"/>
      <c r="C585" s="31">
        <v>4010</v>
      </c>
      <c r="D585" s="313" t="s">
        <v>41</v>
      </c>
      <c r="E585" s="241">
        <v>70099</v>
      </c>
      <c r="F585" s="193">
        <v>69995.36</v>
      </c>
      <c r="G585" s="161">
        <f t="shared" si="120"/>
        <v>99.85215195651864</v>
      </c>
      <c r="H585" s="265">
        <f t="shared" si="121"/>
        <v>70099</v>
      </c>
      <c r="I585" s="193">
        <f t="shared" si="122"/>
        <v>69995.36</v>
      </c>
      <c r="J585" s="161">
        <f t="shared" si="123"/>
        <v>99.85215195651864</v>
      </c>
      <c r="K585" s="265"/>
      <c r="L585" s="193"/>
      <c r="M585" s="168"/>
    </row>
    <row r="586" spans="1:13" s="17" customFormat="1" ht="11.25">
      <c r="A586" s="36"/>
      <c r="B586" s="36"/>
      <c r="C586" s="19">
        <v>4040</v>
      </c>
      <c r="D586" s="490" t="s">
        <v>110</v>
      </c>
      <c r="E586" s="241">
        <v>3583</v>
      </c>
      <c r="F586" s="193">
        <v>3582.75</v>
      </c>
      <c r="G586" s="161">
        <f t="shared" si="120"/>
        <v>99.99302260675411</v>
      </c>
      <c r="H586" s="265">
        <f t="shared" si="121"/>
        <v>3583</v>
      </c>
      <c r="I586" s="193">
        <f t="shared" si="122"/>
        <v>3582.75</v>
      </c>
      <c r="J586" s="161">
        <f t="shared" si="123"/>
        <v>99.99302260675411</v>
      </c>
      <c r="K586" s="265"/>
      <c r="L586" s="193"/>
      <c r="M586" s="168"/>
    </row>
    <row r="587" spans="1:13" s="17" customFormat="1" ht="11.25">
      <c r="A587" s="36"/>
      <c r="B587" s="36"/>
      <c r="C587" s="31">
        <v>4110</v>
      </c>
      <c r="D587" s="313" t="s">
        <v>71</v>
      </c>
      <c r="E587" s="241">
        <v>338505</v>
      </c>
      <c r="F587" s="193">
        <v>337319.43</v>
      </c>
      <c r="G587" s="161">
        <f t="shared" si="120"/>
        <v>99.64976292816945</v>
      </c>
      <c r="H587" s="265">
        <f t="shared" si="121"/>
        <v>338505</v>
      </c>
      <c r="I587" s="193">
        <f t="shared" si="122"/>
        <v>337319.43</v>
      </c>
      <c r="J587" s="161">
        <f t="shared" si="123"/>
        <v>99.64976292816945</v>
      </c>
      <c r="K587" s="265"/>
      <c r="L587" s="193"/>
      <c r="M587" s="168"/>
    </row>
    <row r="588" spans="1:13" s="17" customFormat="1" ht="11.25">
      <c r="A588" s="36"/>
      <c r="B588" s="36"/>
      <c r="C588" s="19">
        <v>4120</v>
      </c>
      <c r="D588" s="320" t="s">
        <v>34</v>
      </c>
      <c r="E588" s="246">
        <v>2196</v>
      </c>
      <c r="F588" s="192">
        <v>1897.97</v>
      </c>
      <c r="G588" s="162">
        <f t="shared" si="120"/>
        <v>86.42850637522768</v>
      </c>
      <c r="H588" s="264">
        <f t="shared" si="121"/>
        <v>2196</v>
      </c>
      <c r="I588" s="192">
        <f t="shared" si="122"/>
        <v>1897.97</v>
      </c>
      <c r="J588" s="162">
        <f t="shared" si="123"/>
        <v>86.42850637522768</v>
      </c>
      <c r="K588" s="264"/>
      <c r="L588" s="192"/>
      <c r="M588" s="177"/>
    </row>
    <row r="589" spans="1:13" s="17" customFormat="1" ht="11.25">
      <c r="A589" s="36"/>
      <c r="B589" s="36"/>
      <c r="C589" s="31">
        <v>4210</v>
      </c>
      <c r="D589" s="313" t="s">
        <v>35</v>
      </c>
      <c r="E589" s="241">
        <v>6624</v>
      </c>
      <c r="F589" s="193">
        <v>6623.57</v>
      </c>
      <c r="G589" s="161">
        <f t="shared" si="120"/>
        <v>99.99350845410628</v>
      </c>
      <c r="H589" s="265">
        <f t="shared" si="121"/>
        <v>6624</v>
      </c>
      <c r="I589" s="193">
        <f t="shared" si="122"/>
        <v>6623.57</v>
      </c>
      <c r="J589" s="161">
        <f t="shared" si="123"/>
        <v>99.99350845410628</v>
      </c>
      <c r="K589" s="265"/>
      <c r="L589" s="193"/>
      <c r="M589" s="168"/>
    </row>
    <row r="590" spans="1:13" s="17" customFormat="1" ht="11.25">
      <c r="A590" s="36"/>
      <c r="B590" s="36"/>
      <c r="C590" s="36">
        <v>4260</v>
      </c>
      <c r="D590" s="324" t="s">
        <v>61</v>
      </c>
      <c r="E590" s="242">
        <v>3279</v>
      </c>
      <c r="F590" s="199">
        <v>3278.77</v>
      </c>
      <c r="G590" s="163">
        <f t="shared" si="120"/>
        <v>99.99298566636169</v>
      </c>
      <c r="H590" s="268">
        <f t="shared" si="121"/>
        <v>3279</v>
      </c>
      <c r="I590" s="199">
        <f t="shared" si="122"/>
        <v>3278.77</v>
      </c>
      <c r="J590" s="163">
        <f t="shared" si="123"/>
        <v>99.99298566636169</v>
      </c>
      <c r="K590" s="268"/>
      <c r="L590" s="199"/>
      <c r="M590" s="179"/>
    </row>
    <row r="591" spans="1:13" s="17" customFormat="1" ht="11.25">
      <c r="A591" s="36"/>
      <c r="B591" s="36"/>
      <c r="C591" s="31">
        <v>4300</v>
      </c>
      <c r="D591" s="313" t="s">
        <v>39</v>
      </c>
      <c r="E591" s="241">
        <v>17454</v>
      </c>
      <c r="F591" s="193">
        <v>17453.04</v>
      </c>
      <c r="G591" s="161">
        <f t="shared" si="120"/>
        <v>99.99449982811963</v>
      </c>
      <c r="H591" s="265">
        <f t="shared" si="121"/>
        <v>17454</v>
      </c>
      <c r="I591" s="193">
        <f t="shared" si="122"/>
        <v>17453.04</v>
      </c>
      <c r="J591" s="161">
        <f t="shared" si="123"/>
        <v>99.99449982811963</v>
      </c>
      <c r="K591" s="265"/>
      <c r="L591" s="193"/>
      <c r="M591" s="168"/>
    </row>
    <row r="592" spans="1:13" s="17" customFormat="1" ht="13.5" customHeight="1">
      <c r="A592" s="36"/>
      <c r="B592" s="36"/>
      <c r="C592" s="19">
        <v>4360</v>
      </c>
      <c r="D592" s="320" t="s">
        <v>209</v>
      </c>
      <c r="E592" s="246">
        <v>516</v>
      </c>
      <c r="F592" s="192">
        <v>515.56</v>
      </c>
      <c r="G592" s="162">
        <f t="shared" si="120"/>
        <v>99.91472868217053</v>
      </c>
      <c r="H592" s="264">
        <f t="shared" si="121"/>
        <v>516</v>
      </c>
      <c r="I592" s="192">
        <f t="shared" si="122"/>
        <v>515.56</v>
      </c>
      <c r="J592" s="162">
        <f t="shared" si="123"/>
        <v>99.91472868217053</v>
      </c>
      <c r="K592" s="264"/>
      <c r="L592" s="192"/>
      <c r="M592" s="177"/>
    </row>
    <row r="593" spans="1:13" s="17" customFormat="1" ht="21">
      <c r="A593" s="36"/>
      <c r="B593" s="46"/>
      <c r="C593" s="46">
        <v>4440</v>
      </c>
      <c r="D593" s="324" t="s">
        <v>63</v>
      </c>
      <c r="E593" s="242">
        <v>1186</v>
      </c>
      <c r="F593" s="199">
        <v>1185.66</v>
      </c>
      <c r="G593" s="163">
        <f t="shared" si="120"/>
        <v>99.97133220910625</v>
      </c>
      <c r="H593" s="268">
        <f t="shared" si="121"/>
        <v>1186</v>
      </c>
      <c r="I593" s="199">
        <f t="shared" si="122"/>
        <v>1185.66</v>
      </c>
      <c r="J593" s="163">
        <f t="shared" si="123"/>
        <v>99.97133220910625</v>
      </c>
      <c r="K593" s="268"/>
      <c r="L593" s="199"/>
      <c r="M593" s="179"/>
    </row>
    <row r="594" spans="1:13" s="17" customFormat="1" ht="15" customHeight="1">
      <c r="A594" s="105"/>
      <c r="B594" s="105">
        <v>85503</v>
      </c>
      <c r="C594" s="105"/>
      <c r="D594" s="107" t="s">
        <v>240</v>
      </c>
      <c r="E594" s="240">
        <f>SUM(E595:E598)</f>
        <v>62138</v>
      </c>
      <c r="F594" s="108">
        <f>SUM(F595:F598)</f>
        <v>57869.19</v>
      </c>
      <c r="G594" s="108">
        <f aca="true" t="shared" si="124" ref="G594:G599">F594*100/E594</f>
        <v>93.1301136180759</v>
      </c>
      <c r="H594" s="240">
        <f>SUM(H595:H598)</f>
        <v>62138</v>
      </c>
      <c r="I594" s="108">
        <f>SUM(I595:I598)</f>
        <v>57869.19</v>
      </c>
      <c r="J594" s="108">
        <f aca="true" t="shared" si="125" ref="J594:J599">I594*100/H594</f>
        <v>93.1301136180759</v>
      </c>
      <c r="K594" s="240"/>
      <c r="L594" s="108"/>
      <c r="M594" s="156"/>
    </row>
    <row r="595" spans="1:13" s="17" customFormat="1" ht="11.25">
      <c r="A595" s="33"/>
      <c r="B595" s="33"/>
      <c r="C595" s="312">
        <v>4010</v>
      </c>
      <c r="D595" s="313" t="s">
        <v>41</v>
      </c>
      <c r="E595" s="241">
        <v>1010</v>
      </c>
      <c r="F595" s="193">
        <v>784.47</v>
      </c>
      <c r="G595" s="161">
        <f t="shared" si="124"/>
        <v>77.67029702970297</v>
      </c>
      <c r="H595" s="265">
        <f aca="true" t="shared" si="126" ref="H595:I598">E595</f>
        <v>1010</v>
      </c>
      <c r="I595" s="193">
        <f t="shared" si="126"/>
        <v>784.47</v>
      </c>
      <c r="J595" s="161">
        <f t="shared" si="125"/>
        <v>77.67029702970297</v>
      </c>
      <c r="K595" s="265"/>
      <c r="L595" s="193"/>
      <c r="M595" s="168"/>
    </row>
    <row r="596" spans="1:13" s="17" customFormat="1" ht="11.25">
      <c r="A596" s="36"/>
      <c r="B596" s="36"/>
      <c r="C596" s="31">
        <v>4110</v>
      </c>
      <c r="D596" s="313" t="s">
        <v>41</v>
      </c>
      <c r="E596" s="241">
        <v>102</v>
      </c>
      <c r="F596" s="193">
        <v>74.07</v>
      </c>
      <c r="G596" s="161">
        <f t="shared" si="124"/>
        <v>72.61764705882352</v>
      </c>
      <c r="H596" s="265">
        <f t="shared" si="126"/>
        <v>102</v>
      </c>
      <c r="I596" s="193">
        <f t="shared" si="126"/>
        <v>74.07</v>
      </c>
      <c r="J596" s="161">
        <f t="shared" si="125"/>
        <v>72.61764705882352</v>
      </c>
      <c r="K596" s="265"/>
      <c r="L596" s="193"/>
      <c r="M596" s="168"/>
    </row>
    <row r="597" spans="1:13" s="17" customFormat="1" ht="11.25">
      <c r="A597" s="36"/>
      <c r="B597" s="36"/>
      <c r="C597" s="31">
        <v>4120</v>
      </c>
      <c r="D597" s="313" t="s">
        <v>34</v>
      </c>
      <c r="E597" s="241">
        <v>26</v>
      </c>
      <c r="F597" s="193">
        <v>15.57</v>
      </c>
      <c r="G597" s="161">
        <f t="shared" si="124"/>
        <v>59.88461538461539</v>
      </c>
      <c r="H597" s="265">
        <f t="shared" si="126"/>
        <v>26</v>
      </c>
      <c r="I597" s="193">
        <f t="shared" si="126"/>
        <v>15.57</v>
      </c>
      <c r="J597" s="161">
        <f t="shared" si="125"/>
        <v>59.88461538461539</v>
      </c>
      <c r="K597" s="265"/>
      <c r="L597" s="193"/>
      <c r="M597" s="168"/>
    </row>
    <row r="598" spans="1:13" s="17" customFormat="1" ht="11.25">
      <c r="A598" s="36"/>
      <c r="B598" s="36"/>
      <c r="C598" s="46">
        <v>4300</v>
      </c>
      <c r="D598" s="324" t="s">
        <v>39</v>
      </c>
      <c r="E598" s="242">
        <v>61000</v>
      </c>
      <c r="F598" s="199">
        <v>56995.08</v>
      </c>
      <c r="G598" s="163">
        <f t="shared" si="124"/>
        <v>93.43455737704917</v>
      </c>
      <c r="H598" s="268">
        <f t="shared" si="126"/>
        <v>61000</v>
      </c>
      <c r="I598" s="199">
        <f t="shared" si="126"/>
        <v>56995.08</v>
      </c>
      <c r="J598" s="163">
        <f t="shared" si="125"/>
        <v>93.43455737704917</v>
      </c>
      <c r="K598" s="268"/>
      <c r="L598" s="199"/>
      <c r="M598" s="179"/>
    </row>
    <row r="599" spans="1:13" s="17" customFormat="1" ht="14.25" customHeight="1">
      <c r="A599" s="105"/>
      <c r="B599" s="105">
        <v>85504</v>
      </c>
      <c r="C599" s="105"/>
      <c r="D599" s="107" t="s">
        <v>190</v>
      </c>
      <c r="E599" s="240">
        <f>SUM(E600:E611)</f>
        <v>1563464</v>
      </c>
      <c r="F599" s="108">
        <f>SUM(F600:F611)</f>
        <v>1547563.2999999998</v>
      </c>
      <c r="G599" s="156">
        <f t="shared" si="124"/>
        <v>98.98298265901867</v>
      </c>
      <c r="H599" s="240">
        <f>SUM(H600:H611)</f>
        <v>1563464</v>
      </c>
      <c r="I599" s="108">
        <f>SUM(I600:I611)</f>
        <v>1547563.2999999998</v>
      </c>
      <c r="J599" s="156">
        <f t="shared" si="125"/>
        <v>98.98298265901867</v>
      </c>
      <c r="K599" s="240"/>
      <c r="L599" s="108"/>
      <c r="M599" s="156"/>
    </row>
    <row r="600" spans="1:13" s="17" customFormat="1" ht="14.25" customHeight="1">
      <c r="A600" s="33"/>
      <c r="B600" s="33"/>
      <c r="C600" s="31">
        <v>3110</v>
      </c>
      <c r="D600" s="32" t="s">
        <v>280</v>
      </c>
      <c r="E600" s="241">
        <v>1434900</v>
      </c>
      <c r="F600" s="193">
        <v>1434900</v>
      </c>
      <c r="G600" s="161">
        <f>F600*100/E600</f>
        <v>100</v>
      </c>
      <c r="H600" s="265">
        <f>E600</f>
        <v>1434900</v>
      </c>
      <c r="I600" s="193">
        <f>F600</f>
        <v>1434900</v>
      </c>
      <c r="J600" s="193">
        <f>G600</f>
        <v>100</v>
      </c>
      <c r="K600" s="265"/>
      <c r="L600" s="193"/>
      <c r="M600" s="168"/>
    </row>
    <row r="601" spans="1:13" s="17" customFormat="1" ht="11.25">
      <c r="A601" s="36"/>
      <c r="B601" s="36"/>
      <c r="C601" s="31">
        <v>4010</v>
      </c>
      <c r="D601" s="32" t="s">
        <v>41</v>
      </c>
      <c r="E601" s="241">
        <v>69160</v>
      </c>
      <c r="F601" s="193">
        <v>54739.98</v>
      </c>
      <c r="G601" s="161">
        <f aca="true" t="shared" si="127" ref="G601:G611">F601*100/E601</f>
        <v>79.14976865240023</v>
      </c>
      <c r="H601" s="265">
        <f aca="true" t="shared" si="128" ref="H601:I611">E601</f>
        <v>69160</v>
      </c>
      <c r="I601" s="193">
        <f t="shared" si="128"/>
        <v>54739.98</v>
      </c>
      <c r="J601" s="161">
        <f aca="true" t="shared" si="129" ref="J601:J611">I601*100/H601</f>
        <v>79.14976865240023</v>
      </c>
      <c r="K601" s="265"/>
      <c r="L601" s="193"/>
      <c r="M601" s="168"/>
    </row>
    <row r="602" spans="1:13" s="17" customFormat="1" ht="11.25">
      <c r="A602" s="36"/>
      <c r="B602" s="36"/>
      <c r="C602" s="31">
        <v>4040</v>
      </c>
      <c r="D602" s="32" t="s">
        <v>110</v>
      </c>
      <c r="E602" s="241">
        <v>3624</v>
      </c>
      <c r="F602" s="193">
        <v>3623.55</v>
      </c>
      <c r="G602" s="161">
        <f t="shared" si="127"/>
        <v>99.98758278145695</v>
      </c>
      <c r="H602" s="265">
        <f t="shared" si="128"/>
        <v>3624</v>
      </c>
      <c r="I602" s="193">
        <f t="shared" si="128"/>
        <v>3623.55</v>
      </c>
      <c r="J602" s="161">
        <f t="shared" si="129"/>
        <v>99.98758278145695</v>
      </c>
      <c r="K602" s="265"/>
      <c r="L602" s="193"/>
      <c r="M602" s="168"/>
    </row>
    <row r="603" spans="1:13" s="17" customFormat="1" ht="11.25">
      <c r="A603" s="36"/>
      <c r="B603" s="36"/>
      <c r="C603" s="31">
        <v>4110</v>
      </c>
      <c r="D603" s="32" t="s">
        <v>71</v>
      </c>
      <c r="E603" s="241">
        <v>13321</v>
      </c>
      <c r="F603" s="193">
        <v>12604.71</v>
      </c>
      <c r="G603" s="161">
        <f t="shared" si="127"/>
        <v>94.622851137302</v>
      </c>
      <c r="H603" s="265">
        <f t="shared" si="128"/>
        <v>13321</v>
      </c>
      <c r="I603" s="193">
        <f t="shared" si="128"/>
        <v>12604.71</v>
      </c>
      <c r="J603" s="161">
        <f t="shared" si="129"/>
        <v>94.622851137302</v>
      </c>
      <c r="K603" s="265"/>
      <c r="L603" s="193"/>
      <c r="M603" s="168"/>
    </row>
    <row r="604" spans="1:13" s="17" customFormat="1" ht="11.25">
      <c r="A604" s="36"/>
      <c r="B604" s="36"/>
      <c r="C604" s="31">
        <v>4120</v>
      </c>
      <c r="D604" s="32" t="s">
        <v>34</v>
      </c>
      <c r="E604" s="241">
        <v>2177</v>
      </c>
      <c r="F604" s="193">
        <v>1763.54</v>
      </c>
      <c r="G604" s="161">
        <f t="shared" si="127"/>
        <v>81.00780891134589</v>
      </c>
      <c r="H604" s="265">
        <f t="shared" si="128"/>
        <v>2177</v>
      </c>
      <c r="I604" s="193">
        <f t="shared" si="128"/>
        <v>1763.54</v>
      </c>
      <c r="J604" s="161">
        <f t="shared" si="129"/>
        <v>81.00780891134589</v>
      </c>
      <c r="K604" s="265"/>
      <c r="L604" s="193"/>
      <c r="M604" s="168"/>
    </row>
    <row r="605" spans="1:13" s="17" customFormat="1" ht="11.25">
      <c r="A605" s="36"/>
      <c r="B605" s="36"/>
      <c r="C605" s="31">
        <v>4170</v>
      </c>
      <c r="D605" s="32" t="s">
        <v>114</v>
      </c>
      <c r="E605" s="241">
        <v>26877</v>
      </c>
      <c r="F605" s="193">
        <v>26876.13</v>
      </c>
      <c r="G605" s="161">
        <f t="shared" si="127"/>
        <v>99.99676303158834</v>
      </c>
      <c r="H605" s="265">
        <f t="shared" si="128"/>
        <v>26877</v>
      </c>
      <c r="I605" s="193">
        <f t="shared" si="128"/>
        <v>26876.13</v>
      </c>
      <c r="J605" s="161">
        <f t="shared" si="129"/>
        <v>99.99676303158834</v>
      </c>
      <c r="K605" s="265"/>
      <c r="L605" s="193"/>
      <c r="M605" s="168"/>
    </row>
    <row r="606" spans="1:13" s="17" customFormat="1" ht="11.25">
      <c r="A606" s="36"/>
      <c r="B606" s="36"/>
      <c r="C606" s="31">
        <v>4210</v>
      </c>
      <c r="D606" s="32" t="s">
        <v>35</v>
      </c>
      <c r="E606" s="241">
        <v>6850</v>
      </c>
      <c r="F606" s="193">
        <v>6799.75</v>
      </c>
      <c r="G606" s="161">
        <f t="shared" si="127"/>
        <v>99.26642335766424</v>
      </c>
      <c r="H606" s="265">
        <f t="shared" si="128"/>
        <v>6850</v>
      </c>
      <c r="I606" s="193">
        <f t="shared" si="128"/>
        <v>6799.75</v>
      </c>
      <c r="J606" s="161">
        <f t="shared" si="129"/>
        <v>99.26642335766424</v>
      </c>
      <c r="K606" s="265"/>
      <c r="L606" s="193"/>
      <c r="M606" s="168"/>
    </row>
    <row r="607" spans="1:13" s="17" customFormat="1" ht="11.25">
      <c r="A607" s="36"/>
      <c r="B607" s="36"/>
      <c r="C607" s="31">
        <v>4300</v>
      </c>
      <c r="D607" s="32" t="s">
        <v>39</v>
      </c>
      <c r="E607" s="241">
        <v>1126</v>
      </c>
      <c r="F607" s="193">
        <v>1125.16</v>
      </c>
      <c r="G607" s="161">
        <f t="shared" si="127"/>
        <v>99.92539964476022</v>
      </c>
      <c r="H607" s="265">
        <f t="shared" si="128"/>
        <v>1126</v>
      </c>
      <c r="I607" s="193">
        <f t="shared" si="128"/>
        <v>1125.16</v>
      </c>
      <c r="J607" s="161">
        <f t="shared" si="129"/>
        <v>99.92539964476022</v>
      </c>
      <c r="K607" s="265"/>
      <c r="L607" s="193"/>
      <c r="M607" s="168"/>
    </row>
    <row r="608" spans="1:13" s="17" customFormat="1" ht="13.5" customHeight="1">
      <c r="A608" s="36"/>
      <c r="B608" s="36"/>
      <c r="C608" s="31">
        <v>4360</v>
      </c>
      <c r="D608" s="32" t="s">
        <v>209</v>
      </c>
      <c r="E608" s="241">
        <v>500</v>
      </c>
      <c r="F608" s="193">
        <v>480</v>
      </c>
      <c r="G608" s="161">
        <f t="shared" si="127"/>
        <v>96</v>
      </c>
      <c r="H608" s="265">
        <f t="shared" si="128"/>
        <v>500</v>
      </c>
      <c r="I608" s="193">
        <f t="shared" si="128"/>
        <v>480</v>
      </c>
      <c r="J608" s="161">
        <f t="shared" si="129"/>
        <v>96</v>
      </c>
      <c r="K608" s="265"/>
      <c r="L608" s="193"/>
      <c r="M608" s="168"/>
    </row>
    <row r="609" spans="1:13" s="17" customFormat="1" ht="11.25">
      <c r="A609" s="36"/>
      <c r="B609" s="36"/>
      <c r="C609" s="31">
        <v>4410</v>
      </c>
      <c r="D609" s="32" t="s">
        <v>68</v>
      </c>
      <c r="E609" s="241">
        <v>2890</v>
      </c>
      <c r="F609" s="193">
        <v>2632.78</v>
      </c>
      <c r="G609" s="161">
        <f t="shared" si="127"/>
        <v>91.09965397923875</v>
      </c>
      <c r="H609" s="265">
        <f t="shared" si="128"/>
        <v>2890</v>
      </c>
      <c r="I609" s="193">
        <f t="shared" si="128"/>
        <v>2632.78</v>
      </c>
      <c r="J609" s="161">
        <f t="shared" si="129"/>
        <v>91.09965397923875</v>
      </c>
      <c r="K609" s="265"/>
      <c r="L609" s="193"/>
      <c r="M609" s="168"/>
    </row>
    <row r="610" spans="1:13" s="17" customFormat="1" ht="21">
      <c r="A610" s="36"/>
      <c r="B610" s="36"/>
      <c r="C610" s="31">
        <v>4440</v>
      </c>
      <c r="D610" s="32" t="s">
        <v>63</v>
      </c>
      <c r="E610" s="241">
        <v>1200</v>
      </c>
      <c r="F610" s="193">
        <v>1185.66</v>
      </c>
      <c r="G610" s="161">
        <f t="shared" si="127"/>
        <v>98.805</v>
      </c>
      <c r="H610" s="265">
        <f t="shared" si="128"/>
        <v>1200</v>
      </c>
      <c r="I610" s="193">
        <f t="shared" si="128"/>
        <v>1185.66</v>
      </c>
      <c r="J610" s="161">
        <f t="shared" si="129"/>
        <v>98.805</v>
      </c>
      <c r="K610" s="265"/>
      <c r="L610" s="193"/>
      <c r="M610" s="168"/>
    </row>
    <row r="611" spans="1:13" s="17" customFormat="1" ht="21">
      <c r="A611" s="46"/>
      <c r="B611" s="46"/>
      <c r="C611" s="41">
        <v>4700</v>
      </c>
      <c r="D611" s="42" t="s">
        <v>171</v>
      </c>
      <c r="E611" s="244">
        <v>839</v>
      </c>
      <c r="F611" s="190">
        <v>832.04</v>
      </c>
      <c r="G611" s="160">
        <f t="shared" si="127"/>
        <v>99.17044100119189</v>
      </c>
      <c r="H611" s="266">
        <f t="shared" si="128"/>
        <v>839</v>
      </c>
      <c r="I611" s="190">
        <f t="shared" si="128"/>
        <v>832.04</v>
      </c>
      <c r="J611" s="160">
        <f t="shared" si="129"/>
        <v>99.17044100119189</v>
      </c>
      <c r="K611" s="266"/>
      <c r="L611" s="190"/>
      <c r="M611" s="176"/>
    </row>
    <row r="612" spans="1:13" s="17" customFormat="1" ht="16.5" customHeight="1">
      <c r="A612" s="105"/>
      <c r="B612" s="105">
        <v>85505</v>
      </c>
      <c r="C612" s="105"/>
      <c r="D612" s="107" t="s">
        <v>241</v>
      </c>
      <c r="E612" s="240">
        <f>SUM(E613)</f>
        <v>222000</v>
      </c>
      <c r="F612" s="240">
        <f>SUM(F613)</f>
        <v>220000</v>
      </c>
      <c r="G612" s="156">
        <f>G613</f>
        <v>99.09909909909909</v>
      </c>
      <c r="H612" s="240">
        <f>SUM(H613)</f>
        <v>222000</v>
      </c>
      <c r="I612" s="240">
        <f>SUM(I613)</f>
        <v>220000</v>
      </c>
      <c r="J612" s="156">
        <f>J613</f>
        <v>99.09909909909909</v>
      </c>
      <c r="K612" s="240"/>
      <c r="L612" s="108"/>
      <c r="M612" s="156"/>
    </row>
    <row r="613" spans="1:13" s="17" customFormat="1" ht="42">
      <c r="A613" s="33"/>
      <c r="B613" s="33"/>
      <c r="C613" s="31">
        <v>2830</v>
      </c>
      <c r="D613" s="313" t="s">
        <v>242</v>
      </c>
      <c r="E613" s="241">
        <v>222000</v>
      </c>
      <c r="F613" s="193">
        <v>220000</v>
      </c>
      <c r="G613" s="161">
        <f>F613*100/E613</f>
        <v>99.09909909909909</v>
      </c>
      <c r="H613" s="265">
        <f>E613</f>
        <v>222000</v>
      </c>
      <c r="I613" s="193">
        <f>F613</f>
        <v>220000</v>
      </c>
      <c r="J613" s="161">
        <f>I613*100/H613</f>
        <v>99.09909909909909</v>
      </c>
      <c r="K613" s="265"/>
      <c r="L613" s="193"/>
      <c r="M613" s="307"/>
    </row>
    <row r="614" spans="1:13" s="17" customFormat="1" ht="21">
      <c r="A614" s="105"/>
      <c r="B614" s="105">
        <v>85506</v>
      </c>
      <c r="C614" s="105"/>
      <c r="D614" s="107" t="s">
        <v>243</v>
      </c>
      <c r="E614" s="240">
        <f>SUM(E615)</f>
        <v>15000</v>
      </c>
      <c r="F614" s="108">
        <f>SUM(F615)</f>
        <v>12700</v>
      </c>
      <c r="G614" s="156">
        <f>G615</f>
        <v>84.66666666666667</v>
      </c>
      <c r="H614" s="240">
        <f>SUM(H615)</f>
        <v>15000</v>
      </c>
      <c r="I614" s="108">
        <f>SUM(I615)</f>
        <v>12700</v>
      </c>
      <c r="J614" s="156">
        <f>J615</f>
        <v>84.66666666666667</v>
      </c>
      <c r="K614" s="240"/>
      <c r="L614" s="108"/>
      <c r="M614" s="156"/>
    </row>
    <row r="615" spans="1:13" s="17" customFormat="1" ht="42">
      <c r="A615" s="46"/>
      <c r="B615" s="46"/>
      <c r="C615" s="46">
        <v>2830</v>
      </c>
      <c r="D615" s="377" t="s">
        <v>242</v>
      </c>
      <c r="E615" s="247">
        <v>15000</v>
      </c>
      <c r="F615" s="202">
        <v>12700</v>
      </c>
      <c r="G615" s="166">
        <f>F615*100/E615</f>
        <v>84.66666666666667</v>
      </c>
      <c r="H615" s="269">
        <f>E615</f>
        <v>15000</v>
      </c>
      <c r="I615" s="202">
        <f>F615</f>
        <v>12700</v>
      </c>
      <c r="J615" s="166">
        <f>I615*100/H615</f>
        <v>84.66666666666667</v>
      </c>
      <c r="K615" s="269"/>
      <c r="L615" s="202"/>
      <c r="M615" s="378"/>
    </row>
    <row r="616" spans="1:13" s="17" customFormat="1" ht="15.75" customHeight="1">
      <c r="A616" s="105"/>
      <c r="B616" s="105">
        <v>85508</v>
      </c>
      <c r="C616" s="105"/>
      <c r="D616" s="107" t="s">
        <v>244</v>
      </c>
      <c r="E616" s="240">
        <f>SUM(E617)</f>
        <v>32000</v>
      </c>
      <c r="F616" s="108">
        <f>SUM(F617)</f>
        <v>31647.98</v>
      </c>
      <c r="G616" s="156">
        <f>G617</f>
        <v>98.8999375</v>
      </c>
      <c r="H616" s="240">
        <f>SUM(H617)</f>
        <v>32000</v>
      </c>
      <c r="I616" s="108">
        <f>SUM(I617)</f>
        <v>31647.98</v>
      </c>
      <c r="J616" s="156">
        <f>J617</f>
        <v>98.8999375</v>
      </c>
      <c r="K616" s="240"/>
      <c r="L616" s="108"/>
      <c r="M616" s="156"/>
    </row>
    <row r="617" spans="1:13" s="17" customFormat="1" ht="63">
      <c r="A617" s="33"/>
      <c r="B617" s="33"/>
      <c r="C617" s="31">
        <v>2900</v>
      </c>
      <c r="D617" s="313" t="s">
        <v>245</v>
      </c>
      <c r="E617" s="244">
        <v>32000</v>
      </c>
      <c r="F617" s="190">
        <v>31647.98</v>
      </c>
      <c r="G617" s="160">
        <f>F617*100/E617</f>
        <v>98.8999375</v>
      </c>
      <c r="H617" s="266">
        <f>E617</f>
        <v>32000</v>
      </c>
      <c r="I617" s="190">
        <f>F617</f>
        <v>31647.98</v>
      </c>
      <c r="J617" s="160">
        <f>I617*100/H617</f>
        <v>98.8999375</v>
      </c>
      <c r="K617" s="265"/>
      <c r="L617" s="193"/>
      <c r="M617" s="307"/>
    </row>
    <row r="618" spans="1:13" s="17" customFormat="1" ht="27" customHeight="1">
      <c r="A618" s="105"/>
      <c r="B618" s="105">
        <v>85510</v>
      </c>
      <c r="C618" s="105"/>
      <c r="D618" s="107" t="s">
        <v>246</v>
      </c>
      <c r="E618" s="243">
        <f>SUM(E619:E631)</f>
        <v>174000</v>
      </c>
      <c r="F618" s="196">
        <f>SUM(F619:F631)</f>
        <v>165449.35000000003</v>
      </c>
      <c r="G618" s="165">
        <f>F618*100/E618</f>
        <v>95.08583333333335</v>
      </c>
      <c r="H618" s="243">
        <f>SUM(H619:H631)</f>
        <v>174000</v>
      </c>
      <c r="I618" s="196">
        <f>SUM(I619:I631)</f>
        <v>165449.35000000003</v>
      </c>
      <c r="J618" s="165">
        <f>I618*100/H618</f>
        <v>95.08583333333335</v>
      </c>
      <c r="K618" s="240"/>
      <c r="L618" s="108"/>
      <c r="M618" s="156"/>
    </row>
    <row r="619" spans="1:13" s="17" customFormat="1" ht="11.25">
      <c r="A619" s="33"/>
      <c r="B619" s="33"/>
      <c r="C619" s="31">
        <v>3020</v>
      </c>
      <c r="D619" s="32" t="s">
        <v>112</v>
      </c>
      <c r="E619" s="241">
        <v>745</v>
      </c>
      <c r="F619" s="193">
        <v>735</v>
      </c>
      <c r="G619" s="161">
        <f aca="true" t="shared" si="130" ref="G619:G631">F619*100/E619</f>
        <v>98.65771812080537</v>
      </c>
      <c r="H619" s="265">
        <f>E619</f>
        <v>745</v>
      </c>
      <c r="I619" s="193">
        <f>F619</f>
        <v>735</v>
      </c>
      <c r="J619" s="161">
        <f aca="true" t="shared" si="131" ref="J619:J631">I619*100/H619</f>
        <v>98.65771812080537</v>
      </c>
      <c r="K619" s="301"/>
      <c r="L619" s="193"/>
      <c r="M619" s="307"/>
    </row>
    <row r="620" spans="1:13" s="17" customFormat="1" ht="11.25">
      <c r="A620" s="36"/>
      <c r="B620" s="36"/>
      <c r="C620" s="31">
        <v>4010</v>
      </c>
      <c r="D620" s="32" t="s">
        <v>41</v>
      </c>
      <c r="E620" s="241">
        <v>105010</v>
      </c>
      <c r="F620" s="193">
        <v>99727.2</v>
      </c>
      <c r="G620" s="161">
        <f t="shared" si="130"/>
        <v>94.96924102466431</v>
      </c>
      <c r="H620" s="265">
        <f aca="true" t="shared" si="132" ref="H620:H631">E620</f>
        <v>105010</v>
      </c>
      <c r="I620" s="193">
        <f aca="true" t="shared" si="133" ref="I620:I631">F620</f>
        <v>99727.2</v>
      </c>
      <c r="J620" s="161">
        <f t="shared" si="131"/>
        <v>94.96924102466431</v>
      </c>
      <c r="K620" s="301"/>
      <c r="L620" s="193"/>
      <c r="M620" s="168"/>
    </row>
    <row r="621" spans="1:13" s="17" customFormat="1" ht="11.25">
      <c r="A621" s="36"/>
      <c r="B621" s="36"/>
      <c r="C621" s="31">
        <v>4040</v>
      </c>
      <c r="D621" s="32" t="s">
        <v>110</v>
      </c>
      <c r="E621" s="241">
        <v>13190</v>
      </c>
      <c r="F621" s="193">
        <v>13189.42</v>
      </c>
      <c r="G621" s="161">
        <f t="shared" si="130"/>
        <v>99.9956027293404</v>
      </c>
      <c r="H621" s="265">
        <f t="shared" si="132"/>
        <v>13190</v>
      </c>
      <c r="I621" s="421">
        <f t="shared" si="133"/>
        <v>13189.42</v>
      </c>
      <c r="J621" s="339">
        <f t="shared" si="131"/>
        <v>99.9956027293404</v>
      </c>
      <c r="K621" s="301"/>
      <c r="L621" s="193"/>
      <c r="M621" s="168"/>
    </row>
    <row r="622" spans="1:13" s="17" customFormat="1" ht="11.25">
      <c r="A622" s="36"/>
      <c r="B622" s="36"/>
      <c r="C622" s="19">
        <v>4110</v>
      </c>
      <c r="D622" s="21" t="s">
        <v>71</v>
      </c>
      <c r="E622" s="246">
        <v>18002</v>
      </c>
      <c r="F622" s="192">
        <v>17769.73</v>
      </c>
      <c r="G622" s="162">
        <f t="shared" si="130"/>
        <v>98.70975447172536</v>
      </c>
      <c r="H622" s="264">
        <f t="shared" si="132"/>
        <v>18002</v>
      </c>
      <c r="I622" s="192">
        <f t="shared" si="133"/>
        <v>17769.73</v>
      </c>
      <c r="J622" s="162">
        <f t="shared" si="131"/>
        <v>98.70975447172536</v>
      </c>
      <c r="K622" s="356"/>
      <c r="L622" s="192"/>
      <c r="M622" s="177"/>
    </row>
    <row r="623" spans="1:13" s="17" customFormat="1" ht="11.25">
      <c r="A623" s="36"/>
      <c r="B623" s="36"/>
      <c r="C623" s="31">
        <v>4120</v>
      </c>
      <c r="D623" s="32" t="s">
        <v>34</v>
      </c>
      <c r="E623" s="241">
        <v>3000</v>
      </c>
      <c r="F623" s="193">
        <v>1934.23</v>
      </c>
      <c r="G623" s="161">
        <f t="shared" si="130"/>
        <v>64.47433333333333</v>
      </c>
      <c r="H623" s="265">
        <f t="shared" si="132"/>
        <v>3000</v>
      </c>
      <c r="I623" s="192">
        <f t="shared" si="133"/>
        <v>1934.23</v>
      </c>
      <c r="J623" s="161">
        <f t="shared" si="131"/>
        <v>64.47433333333333</v>
      </c>
      <c r="K623" s="356"/>
      <c r="L623" s="192"/>
      <c r="M623" s="177"/>
    </row>
    <row r="624" spans="1:13" s="17" customFormat="1" ht="11.25">
      <c r="A624" s="36"/>
      <c r="B624" s="36"/>
      <c r="C624" s="31">
        <v>4210</v>
      </c>
      <c r="D624" s="32" t="s">
        <v>35</v>
      </c>
      <c r="E624" s="241">
        <v>7253</v>
      </c>
      <c r="F624" s="193">
        <v>7201.66</v>
      </c>
      <c r="G624" s="161">
        <f t="shared" si="130"/>
        <v>99.29215497035709</v>
      </c>
      <c r="H624" s="265">
        <f t="shared" si="132"/>
        <v>7253</v>
      </c>
      <c r="I624" s="193">
        <f t="shared" si="133"/>
        <v>7201.66</v>
      </c>
      <c r="J624" s="161">
        <f t="shared" si="131"/>
        <v>99.29215497035709</v>
      </c>
      <c r="K624" s="301"/>
      <c r="L624" s="193"/>
      <c r="M624" s="168"/>
    </row>
    <row r="625" spans="1:13" s="17" customFormat="1" ht="11.25">
      <c r="A625" s="36"/>
      <c r="B625" s="36"/>
      <c r="C625" s="31">
        <v>4260</v>
      </c>
      <c r="D625" s="32" t="s">
        <v>61</v>
      </c>
      <c r="E625" s="241">
        <v>18500</v>
      </c>
      <c r="F625" s="193">
        <v>17775.64</v>
      </c>
      <c r="G625" s="161">
        <f t="shared" si="130"/>
        <v>96.08454054054054</v>
      </c>
      <c r="H625" s="265">
        <f t="shared" si="132"/>
        <v>18500</v>
      </c>
      <c r="I625" s="193">
        <f t="shared" si="133"/>
        <v>17775.64</v>
      </c>
      <c r="J625" s="161">
        <f t="shared" si="131"/>
        <v>96.08454054054054</v>
      </c>
      <c r="K625" s="301"/>
      <c r="L625" s="193"/>
      <c r="M625" s="168"/>
    </row>
    <row r="626" spans="1:13" s="17" customFormat="1" ht="11.25">
      <c r="A626" s="36"/>
      <c r="B626" s="36"/>
      <c r="C626" s="31">
        <v>4300</v>
      </c>
      <c r="D626" s="313" t="s">
        <v>39</v>
      </c>
      <c r="E626" s="241">
        <v>1100</v>
      </c>
      <c r="F626" s="193">
        <v>990</v>
      </c>
      <c r="G626" s="161">
        <f t="shared" si="130"/>
        <v>90</v>
      </c>
      <c r="H626" s="265">
        <f t="shared" si="132"/>
        <v>1100</v>
      </c>
      <c r="I626" s="193">
        <f t="shared" si="133"/>
        <v>990</v>
      </c>
      <c r="J626" s="161">
        <f t="shared" si="131"/>
        <v>90</v>
      </c>
      <c r="K626" s="301"/>
      <c r="L626" s="193"/>
      <c r="M626" s="168"/>
    </row>
    <row r="627" spans="1:13" s="17" customFormat="1" ht="21">
      <c r="A627" s="36"/>
      <c r="B627" s="36"/>
      <c r="C627" s="31">
        <v>4360</v>
      </c>
      <c r="D627" s="313" t="s">
        <v>209</v>
      </c>
      <c r="E627" s="241">
        <v>500</v>
      </c>
      <c r="F627" s="193">
        <v>295.2</v>
      </c>
      <c r="G627" s="161">
        <f t="shared" si="130"/>
        <v>59.04</v>
      </c>
      <c r="H627" s="265">
        <f t="shared" si="132"/>
        <v>500</v>
      </c>
      <c r="I627" s="193">
        <f t="shared" si="133"/>
        <v>295.2</v>
      </c>
      <c r="J627" s="161">
        <f t="shared" si="131"/>
        <v>59.04</v>
      </c>
      <c r="K627" s="301"/>
      <c r="L627" s="193"/>
      <c r="M627" s="307"/>
    </row>
    <row r="628" spans="1:13" s="17" customFormat="1" ht="11.25">
      <c r="A628" s="36"/>
      <c r="B628" s="36"/>
      <c r="C628" s="31">
        <v>4410</v>
      </c>
      <c r="D628" s="313" t="s">
        <v>68</v>
      </c>
      <c r="E628" s="241">
        <v>2000</v>
      </c>
      <c r="F628" s="193">
        <v>1793.17</v>
      </c>
      <c r="G628" s="161">
        <f t="shared" si="130"/>
        <v>89.6585</v>
      </c>
      <c r="H628" s="265">
        <f t="shared" si="132"/>
        <v>2000</v>
      </c>
      <c r="I628" s="193">
        <f t="shared" si="133"/>
        <v>1793.17</v>
      </c>
      <c r="J628" s="161">
        <f t="shared" si="131"/>
        <v>89.6585</v>
      </c>
      <c r="K628" s="301"/>
      <c r="L628" s="193"/>
      <c r="M628" s="307"/>
    </row>
    <row r="629" spans="1:13" s="17" customFormat="1" ht="11.25">
      <c r="A629" s="36"/>
      <c r="B629" s="36"/>
      <c r="C629" s="31">
        <v>4430</v>
      </c>
      <c r="D629" s="313" t="s">
        <v>118</v>
      </c>
      <c r="E629" s="241">
        <v>500</v>
      </c>
      <c r="F629" s="193">
        <v>500</v>
      </c>
      <c r="G629" s="161">
        <f t="shared" si="130"/>
        <v>100</v>
      </c>
      <c r="H629" s="265">
        <f t="shared" si="132"/>
        <v>500</v>
      </c>
      <c r="I629" s="193">
        <f t="shared" si="133"/>
        <v>500</v>
      </c>
      <c r="J629" s="161">
        <f t="shared" si="131"/>
        <v>100</v>
      </c>
      <c r="K629" s="301"/>
      <c r="L629" s="193"/>
      <c r="M629" s="168"/>
    </row>
    <row r="630" spans="1:13" s="17" customFormat="1" ht="21">
      <c r="A630" s="36"/>
      <c r="B630" s="36"/>
      <c r="C630" s="31">
        <v>4440</v>
      </c>
      <c r="D630" s="313" t="s">
        <v>63</v>
      </c>
      <c r="E630" s="241">
        <v>2200</v>
      </c>
      <c r="F630" s="193">
        <v>1976.1</v>
      </c>
      <c r="G630" s="161">
        <f t="shared" si="130"/>
        <v>89.82272727272728</v>
      </c>
      <c r="H630" s="265">
        <f t="shared" si="132"/>
        <v>2200</v>
      </c>
      <c r="I630" s="193">
        <f t="shared" si="133"/>
        <v>1976.1</v>
      </c>
      <c r="J630" s="315">
        <f t="shared" si="131"/>
        <v>89.82272727272728</v>
      </c>
      <c r="K630" s="301"/>
      <c r="L630" s="193"/>
      <c r="M630" s="168"/>
    </row>
    <row r="631" spans="1:13" s="17" customFormat="1" ht="21">
      <c r="A631" s="46"/>
      <c r="B631" s="46"/>
      <c r="C631" s="41">
        <v>4520</v>
      </c>
      <c r="D631" s="42" t="s">
        <v>201</v>
      </c>
      <c r="E631" s="244">
        <v>2000</v>
      </c>
      <c r="F631" s="190">
        <v>1562</v>
      </c>
      <c r="G631" s="160">
        <f t="shared" si="130"/>
        <v>78.1</v>
      </c>
      <c r="H631" s="266">
        <f t="shared" si="132"/>
        <v>2000</v>
      </c>
      <c r="I631" s="190">
        <f t="shared" si="133"/>
        <v>1562</v>
      </c>
      <c r="J631" s="347">
        <f t="shared" si="131"/>
        <v>78.1</v>
      </c>
      <c r="K631" s="435"/>
      <c r="L631" s="190"/>
      <c r="M631" s="176"/>
    </row>
    <row r="632" spans="1:13" s="16" customFormat="1" ht="15" customHeight="1">
      <c r="A632" s="105"/>
      <c r="B632" s="105">
        <v>85595</v>
      </c>
      <c r="C632" s="105"/>
      <c r="D632" s="107" t="s">
        <v>6</v>
      </c>
      <c r="E632" s="240">
        <f>SUM(E633:E634)</f>
        <v>34500</v>
      </c>
      <c r="F632" s="340">
        <f>SUM(F633:F634)</f>
        <v>33169.86</v>
      </c>
      <c r="G632" s="156">
        <f>F632*100/E632</f>
        <v>96.14452173913044</v>
      </c>
      <c r="H632" s="240">
        <f>SUM(H633:H634)</f>
        <v>34500</v>
      </c>
      <c r="I632" s="108">
        <f>SUM(I633:I634)</f>
        <v>33169.86</v>
      </c>
      <c r="J632" s="156">
        <f>I632*100/H632</f>
        <v>96.14452173913044</v>
      </c>
      <c r="K632" s="375"/>
      <c r="L632" s="108"/>
      <c r="M632" s="156"/>
    </row>
    <row r="633" spans="1:13" s="16" customFormat="1" ht="11.25">
      <c r="A633" s="36"/>
      <c r="B633" s="36"/>
      <c r="C633" s="19">
        <v>4210</v>
      </c>
      <c r="D633" s="320" t="s">
        <v>35</v>
      </c>
      <c r="E633" s="246">
        <v>50</v>
      </c>
      <c r="F633" s="300">
        <v>0</v>
      </c>
      <c r="G633" s="162">
        <f aca="true" t="shared" si="134" ref="G633:G667">F633*100/E633</f>
        <v>0</v>
      </c>
      <c r="H633" s="264">
        <f>E633</f>
        <v>50</v>
      </c>
      <c r="I633" s="192">
        <f>F633</f>
        <v>0</v>
      </c>
      <c r="J633" s="162">
        <f aca="true" t="shared" si="135" ref="J633:J641">I633*100/H633</f>
        <v>0</v>
      </c>
      <c r="K633" s="356"/>
      <c r="L633" s="192"/>
      <c r="M633" s="368"/>
    </row>
    <row r="634" spans="1:13" s="16" customFormat="1" ht="11.25">
      <c r="A634" s="46"/>
      <c r="B634" s="46"/>
      <c r="C634" s="46">
        <v>4300</v>
      </c>
      <c r="D634" s="94" t="s">
        <v>39</v>
      </c>
      <c r="E634" s="244">
        <v>34450</v>
      </c>
      <c r="F634" s="190">
        <v>33169.86</v>
      </c>
      <c r="G634" s="166">
        <f t="shared" si="134"/>
        <v>96.28406386066763</v>
      </c>
      <c r="H634" s="269">
        <f>E634</f>
        <v>34450</v>
      </c>
      <c r="I634" s="202">
        <f>F634</f>
        <v>33169.86</v>
      </c>
      <c r="J634" s="166">
        <f t="shared" si="135"/>
        <v>96.28406386066763</v>
      </c>
      <c r="K634" s="318"/>
      <c r="L634" s="202"/>
      <c r="M634" s="175"/>
    </row>
    <row r="635" spans="1:13" s="16" customFormat="1" ht="21">
      <c r="A635" s="66">
        <v>900</v>
      </c>
      <c r="B635" s="66"/>
      <c r="C635" s="66"/>
      <c r="D635" s="67" t="s">
        <v>18</v>
      </c>
      <c r="E635" s="287">
        <f>SUM(E636,E644,E663,E667,E675,E683,E685,E669,E673,E642,E660)</f>
        <v>11895497</v>
      </c>
      <c r="F635" s="288">
        <f>SUM(F636,F644,F663,F667,F675,F683,F685,F669,F673,F660,F642)</f>
        <v>10807249.45</v>
      </c>
      <c r="G635" s="154">
        <f>F635*100/E635</f>
        <v>90.8516008200414</v>
      </c>
      <c r="H635" s="287">
        <f>SUM(H636,H644,H663,H667,H675,H683,H685,H669,H673,H642,H660)</f>
        <v>11588206</v>
      </c>
      <c r="I635" s="288">
        <f>SUM(I636,I644,I663,I667,I675,I683,I685,I669,I673,I642,I660)</f>
        <v>10500979.45</v>
      </c>
      <c r="J635" s="154">
        <f t="shared" si="135"/>
        <v>90.61781823692122</v>
      </c>
      <c r="K635" s="287">
        <f>SUM(K636,K644,K660,K667,K675,K683,K685,K669)</f>
        <v>307291</v>
      </c>
      <c r="L635" s="288">
        <f>SUM(L636,L644,L660,L667,L675,L683,L685,L669)</f>
        <v>306270</v>
      </c>
      <c r="M635" s="154">
        <f>L635*100/K635</f>
        <v>99.66774165204968</v>
      </c>
    </row>
    <row r="636" spans="1:13" s="16" customFormat="1" ht="11.25">
      <c r="A636" s="105"/>
      <c r="B636" s="105">
        <v>90001</v>
      </c>
      <c r="C636" s="105"/>
      <c r="D636" s="107" t="s">
        <v>145</v>
      </c>
      <c r="E636" s="240">
        <f>SUM(E637:E641)</f>
        <v>1114280</v>
      </c>
      <c r="F636" s="108">
        <f>SUM(F637:F641)</f>
        <v>850435.29</v>
      </c>
      <c r="G636" s="156">
        <f t="shared" si="134"/>
        <v>76.32150716157518</v>
      </c>
      <c r="H636" s="240">
        <f>SUM(H637:H641)</f>
        <v>1114280</v>
      </c>
      <c r="I636" s="108">
        <f>SUM(I637:I641)</f>
        <v>850435.29</v>
      </c>
      <c r="J636" s="156">
        <f t="shared" si="135"/>
        <v>76.32150716157518</v>
      </c>
      <c r="K636" s="375"/>
      <c r="L636" s="108"/>
      <c r="M636" s="156"/>
    </row>
    <row r="637" spans="1:13" s="16" customFormat="1" ht="11.25">
      <c r="A637" s="36"/>
      <c r="B637" s="36"/>
      <c r="C637" s="19">
        <v>4110</v>
      </c>
      <c r="D637" s="21" t="s">
        <v>71</v>
      </c>
      <c r="E637" s="246">
        <v>7300</v>
      </c>
      <c r="F637" s="72">
        <v>6016.5</v>
      </c>
      <c r="G637" s="162">
        <f t="shared" si="134"/>
        <v>82.41780821917808</v>
      </c>
      <c r="H637" s="264">
        <f aca="true" t="shared" si="136" ref="H637:I641">E637</f>
        <v>7300</v>
      </c>
      <c r="I637" s="192">
        <f t="shared" si="136"/>
        <v>6016.5</v>
      </c>
      <c r="J637" s="162">
        <f t="shared" si="135"/>
        <v>82.41780821917808</v>
      </c>
      <c r="K637" s="361"/>
      <c r="L637" s="72"/>
      <c r="M637" s="182"/>
    </row>
    <row r="638" spans="1:13" s="17" customFormat="1" ht="11.25">
      <c r="A638" s="36"/>
      <c r="B638" s="36"/>
      <c r="C638" s="31">
        <v>4170</v>
      </c>
      <c r="D638" s="32" t="s">
        <v>114</v>
      </c>
      <c r="E638" s="241">
        <v>51980</v>
      </c>
      <c r="F638" s="64">
        <v>45259.53</v>
      </c>
      <c r="G638" s="161">
        <f t="shared" si="134"/>
        <v>87.07104655636783</v>
      </c>
      <c r="H638" s="265">
        <f t="shared" si="136"/>
        <v>51980</v>
      </c>
      <c r="I638" s="193">
        <f t="shared" si="136"/>
        <v>45259.53</v>
      </c>
      <c r="J638" s="161">
        <f t="shared" si="135"/>
        <v>87.07104655636783</v>
      </c>
      <c r="K638" s="65"/>
      <c r="L638" s="64"/>
      <c r="M638" s="182"/>
    </row>
    <row r="639" spans="1:13" s="17" customFormat="1" ht="11.25">
      <c r="A639" s="36"/>
      <c r="B639" s="36"/>
      <c r="C639" s="33">
        <v>4260</v>
      </c>
      <c r="D639" s="34" t="s">
        <v>61</v>
      </c>
      <c r="E639" s="245">
        <v>3000</v>
      </c>
      <c r="F639" s="189">
        <v>2114.25</v>
      </c>
      <c r="G639" s="161">
        <f t="shared" si="134"/>
        <v>70.475</v>
      </c>
      <c r="H639" s="265">
        <f t="shared" si="136"/>
        <v>3000</v>
      </c>
      <c r="I639" s="193">
        <f t="shared" si="136"/>
        <v>2114.25</v>
      </c>
      <c r="J639" s="161">
        <f t="shared" si="135"/>
        <v>70.475</v>
      </c>
      <c r="K639" s="261"/>
      <c r="L639" s="189"/>
      <c r="M639" s="182"/>
    </row>
    <row r="640" spans="1:13" s="17" customFormat="1" ht="11.25">
      <c r="A640" s="36"/>
      <c r="B640" s="36"/>
      <c r="C640" s="33">
        <v>4270</v>
      </c>
      <c r="D640" s="34" t="s">
        <v>64</v>
      </c>
      <c r="E640" s="245">
        <v>5000</v>
      </c>
      <c r="F640" s="189">
        <v>0</v>
      </c>
      <c r="G640" s="164">
        <f t="shared" si="134"/>
        <v>0</v>
      </c>
      <c r="H640" s="265">
        <f t="shared" si="136"/>
        <v>5000</v>
      </c>
      <c r="I640" s="193">
        <f t="shared" si="136"/>
        <v>0</v>
      </c>
      <c r="J640" s="161">
        <f t="shared" si="135"/>
        <v>0</v>
      </c>
      <c r="K640" s="261"/>
      <c r="L640" s="189"/>
      <c r="M640" s="182"/>
    </row>
    <row r="641" spans="1:13" s="17" customFormat="1" ht="11.25">
      <c r="A641" s="36"/>
      <c r="B641" s="36"/>
      <c r="C641" s="33">
        <v>4300</v>
      </c>
      <c r="D641" s="34" t="s">
        <v>39</v>
      </c>
      <c r="E641" s="245">
        <v>1047000</v>
      </c>
      <c r="F641" s="189">
        <v>797045.01</v>
      </c>
      <c r="G641" s="161">
        <f t="shared" si="134"/>
        <v>76.12655300859599</v>
      </c>
      <c r="H641" s="265">
        <f t="shared" si="136"/>
        <v>1047000</v>
      </c>
      <c r="I641" s="193">
        <f t="shared" si="136"/>
        <v>797045.01</v>
      </c>
      <c r="J641" s="161">
        <f t="shared" si="135"/>
        <v>76.12655300859599</v>
      </c>
      <c r="K641" s="261"/>
      <c r="L641" s="189"/>
      <c r="M641" s="182"/>
    </row>
    <row r="642" spans="1:13" s="17" customFormat="1" ht="12">
      <c r="A642" s="290"/>
      <c r="B642" s="290">
        <v>90002</v>
      </c>
      <c r="C642" s="290"/>
      <c r="D642" s="374" t="s">
        <v>292</v>
      </c>
      <c r="E642" s="291">
        <f>SUM(E643)</f>
        <v>62000</v>
      </c>
      <c r="F642" s="291">
        <f>SUM(F643)</f>
        <v>36371.9299999997</v>
      </c>
      <c r="G642" s="293">
        <f>F642*100/E642</f>
        <v>58.66440322580597</v>
      </c>
      <c r="H642" s="291">
        <f>SUM(H643)</f>
        <v>62000</v>
      </c>
      <c r="I642" s="292">
        <f>SUM(I643)</f>
        <v>36371.9299999997</v>
      </c>
      <c r="J642" s="293">
        <f>I642*100/H642</f>
        <v>58.66440322580597</v>
      </c>
      <c r="K642" s="291"/>
      <c r="L642" s="291"/>
      <c r="M642" s="291"/>
    </row>
    <row r="643" spans="1:13" s="17" customFormat="1" ht="11.25">
      <c r="A643" s="36"/>
      <c r="B643" s="36"/>
      <c r="C643" s="31">
        <v>4300</v>
      </c>
      <c r="D643" s="32" t="s">
        <v>39</v>
      </c>
      <c r="E643" s="241">
        <f>6450651-E655-E661</f>
        <v>62000</v>
      </c>
      <c r="F643" s="186">
        <f>5884110.72-F655-F661</f>
        <v>36371.9299999997</v>
      </c>
      <c r="G643" s="293">
        <f>F643*100/E643</f>
        <v>58.66440322580597</v>
      </c>
      <c r="H643" s="265">
        <f>6450651-H655-H661</f>
        <v>62000</v>
      </c>
      <c r="I643" s="193">
        <f>5884110.72-I655-I661</f>
        <v>36371.9299999997</v>
      </c>
      <c r="J643" s="161">
        <f>I643*100/H643</f>
        <v>58.66440322580597</v>
      </c>
      <c r="K643" s="265"/>
      <c r="L643" s="193"/>
      <c r="M643" s="295"/>
    </row>
    <row r="644" spans="1:13" s="17" customFormat="1" ht="45.75" customHeight="1">
      <c r="A644" s="290"/>
      <c r="B644" s="290">
        <v>90002</v>
      </c>
      <c r="C644" s="290"/>
      <c r="D644" s="374" t="s">
        <v>267</v>
      </c>
      <c r="E644" s="291">
        <f>SUM(E645:E659)</f>
        <v>1184463</v>
      </c>
      <c r="F644" s="292">
        <f>SUM(F645:F659)</f>
        <v>1109925.2099999997</v>
      </c>
      <c r="G644" s="293">
        <f t="shared" si="134"/>
        <v>93.70703939253482</v>
      </c>
      <c r="H644" s="291">
        <f>SUM(H645:H659)</f>
        <v>1184463</v>
      </c>
      <c r="I644" s="292">
        <f>SUM(I645:I659)</f>
        <v>1109925.2099999997</v>
      </c>
      <c r="J644" s="293">
        <f>I644*100/H644</f>
        <v>93.70703939253482</v>
      </c>
      <c r="K644" s="291"/>
      <c r="L644" s="292"/>
      <c r="M644" s="292"/>
    </row>
    <row r="645" spans="1:13" s="17" customFormat="1" ht="11.25">
      <c r="A645" s="33"/>
      <c r="B645" s="33"/>
      <c r="C645" s="31">
        <v>3020</v>
      </c>
      <c r="D645" s="32" t="s">
        <v>112</v>
      </c>
      <c r="E645" s="241">
        <v>2000</v>
      </c>
      <c r="F645" s="193">
        <v>1797.9</v>
      </c>
      <c r="G645" s="161">
        <f t="shared" si="134"/>
        <v>89.895</v>
      </c>
      <c r="H645" s="265">
        <f aca="true" t="shared" si="137" ref="H645:H659">E645</f>
        <v>2000</v>
      </c>
      <c r="I645" s="193">
        <f aca="true" t="shared" si="138" ref="I645:I659">F645</f>
        <v>1797.9</v>
      </c>
      <c r="J645" s="161">
        <f aca="true" t="shared" si="139" ref="J645:J659">I645*100/H645</f>
        <v>89.895</v>
      </c>
      <c r="K645" s="265"/>
      <c r="L645" s="193"/>
      <c r="M645" s="182"/>
    </row>
    <row r="646" spans="1:13" s="17" customFormat="1" ht="11.25">
      <c r="A646" s="36"/>
      <c r="B646" s="36"/>
      <c r="C646" s="31">
        <v>4010</v>
      </c>
      <c r="D646" s="32" t="s">
        <v>41</v>
      </c>
      <c r="E646" s="241">
        <v>694283</v>
      </c>
      <c r="F646" s="193">
        <v>694282.39</v>
      </c>
      <c r="G646" s="161">
        <f t="shared" si="134"/>
        <v>99.9999121395742</v>
      </c>
      <c r="H646" s="265">
        <f t="shared" si="137"/>
        <v>694283</v>
      </c>
      <c r="I646" s="193">
        <f t="shared" si="138"/>
        <v>694282.39</v>
      </c>
      <c r="J646" s="161">
        <f t="shared" si="139"/>
        <v>99.9999121395742</v>
      </c>
      <c r="K646" s="265"/>
      <c r="L646" s="193"/>
      <c r="M646" s="295"/>
    </row>
    <row r="647" spans="1:13" s="17" customFormat="1" ht="11.25">
      <c r="A647" s="36"/>
      <c r="B647" s="36"/>
      <c r="C647" s="31">
        <v>4040</v>
      </c>
      <c r="D647" s="32" t="s">
        <v>110</v>
      </c>
      <c r="E647" s="241">
        <v>44798</v>
      </c>
      <c r="F647" s="193">
        <v>44797.57</v>
      </c>
      <c r="G647" s="161">
        <f t="shared" si="134"/>
        <v>99.99904013572035</v>
      </c>
      <c r="H647" s="265">
        <f t="shared" si="137"/>
        <v>44798</v>
      </c>
      <c r="I647" s="193">
        <f t="shared" si="138"/>
        <v>44797.57</v>
      </c>
      <c r="J647" s="161">
        <f t="shared" si="139"/>
        <v>99.99904013572035</v>
      </c>
      <c r="K647" s="265"/>
      <c r="L647" s="193"/>
      <c r="M647" s="295"/>
    </row>
    <row r="648" spans="1:13" s="17" customFormat="1" ht="11.25">
      <c r="A648" s="36"/>
      <c r="B648" s="36"/>
      <c r="C648" s="31">
        <v>4110</v>
      </c>
      <c r="D648" s="32" t="s">
        <v>71</v>
      </c>
      <c r="E648" s="241">
        <v>128415</v>
      </c>
      <c r="F648" s="193">
        <v>128414.2</v>
      </c>
      <c r="G648" s="161">
        <f t="shared" si="134"/>
        <v>99.99937701981855</v>
      </c>
      <c r="H648" s="265">
        <f t="shared" si="137"/>
        <v>128415</v>
      </c>
      <c r="I648" s="193">
        <f t="shared" si="138"/>
        <v>128414.2</v>
      </c>
      <c r="J648" s="161">
        <f t="shared" si="139"/>
        <v>99.99937701981855</v>
      </c>
      <c r="K648" s="265"/>
      <c r="L648" s="193"/>
      <c r="M648" s="295"/>
    </row>
    <row r="649" spans="1:13" s="17" customFormat="1" ht="11.25">
      <c r="A649" s="36"/>
      <c r="B649" s="36"/>
      <c r="C649" s="31">
        <v>4120</v>
      </c>
      <c r="D649" s="32" t="s">
        <v>34</v>
      </c>
      <c r="E649" s="241">
        <v>15411</v>
      </c>
      <c r="F649" s="193">
        <v>15064.08</v>
      </c>
      <c r="G649" s="161">
        <f t="shared" si="134"/>
        <v>97.74888066965154</v>
      </c>
      <c r="H649" s="265">
        <f t="shared" si="137"/>
        <v>15411</v>
      </c>
      <c r="I649" s="193">
        <f t="shared" si="138"/>
        <v>15064.08</v>
      </c>
      <c r="J649" s="161">
        <f t="shared" si="139"/>
        <v>97.74888066965154</v>
      </c>
      <c r="K649" s="265"/>
      <c r="L649" s="193"/>
      <c r="M649" s="295"/>
    </row>
    <row r="650" spans="1:13" s="17" customFormat="1" ht="11.25">
      <c r="A650" s="36"/>
      <c r="B650" s="36"/>
      <c r="C650" s="31">
        <v>4170</v>
      </c>
      <c r="D650" s="32" t="s">
        <v>114</v>
      </c>
      <c r="E650" s="241">
        <v>65000</v>
      </c>
      <c r="F650" s="64">
        <v>57464.62</v>
      </c>
      <c r="G650" s="161">
        <f t="shared" si="134"/>
        <v>88.40710769230769</v>
      </c>
      <c r="H650" s="265">
        <f t="shared" si="137"/>
        <v>65000</v>
      </c>
      <c r="I650" s="193">
        <f t="shared" si="138"/>
        <v>57464.62</v>
      </c>
      <c r="J650" s="161">
        <f t="shared" si="139"/>
        <v>88.40710769230769</v>
      </c>
      <c r="K650" s="65"/>
      <c r="L650" s="64"/>
      <c r="M650" s="168"/>
    </row>
    <row r="651" spans="1:13" s="17" customFormat="1" ht="11.25">
      <c r="A651" s="36"/>
      <c r="B651" s="36"/>
      <c r="C651" s="31">
        <v>4210</v>
      </c>
      <c r="D651" s="32" t="s">
        <v>35</v>
      </c>
      <c r="E651" s="241">
        <v>39706</v>
      </c>
      <c r="F651" s="193">
        <v>29705.99</v>
      </c>
      <c r="G651" s="161">
        <f t="shared" si="134"/>
        <v>74.81486425225407</v>
      </c>
      <c r="H651" s="265">
        <f t="shared" si="137"/>
        <v>39706</v>
      </c>
      <c r="I651" s="193">
        <f t="shared" si="138"/>
        <v>29705.99</v>
      </c>
      <c r="J651" s="161">
        <f t="shared" si="139"/>
        <v>74.81486425225407</v>
      </c>
      <c r="K651" s="265"/>
      <c r="L651" s="193"/>
      <c r="M651" s="295"/>
    </row>
    <row r="652" spans="1:13" s="17" customFormat="1" ht="11.25">
      <c r="A652" s="36"/>
      <c r="B652" s="36"/>
      <c r="C652" s="31">
        <v>4260</v>
      </c>
      <c r="D652" s="32" t="s">
        <v>61</v>
      </c>
      <c r="E652" s="241">
        <v>21000</v>
      </c>
      <c r="F652" s="193">
        <v>1392.21</v>
      </c>
      <c r="G652" s="161">
        <f t="shared" si="134"/>
        <v>6.6295714285714284</v>
      </c>
      <c r="H652" s="265">
        <f t="shared" si="137"/>
        <v>21000</v>
      </c>
      <c r="I652" s="193">
        <f t="shared" si="138"/>
        <v>1392.21</v>
      </c>
      <c r="J652" s="161">
        <f t="shared" si="139"/>
        <v>6.6295714285714284</v>
      </c>
      <c r="K652" s="265"/>
      <c r="L652" s="193"/>
      <c r="M652" s="295"/>
    </row>
    <row r="653" spans="1:13" s="17" customFormat="1" ht="11.25">
      <c r="A653" s="36"/>
      <c r="B653" s="36"/>
      <c r="C653" s="31">
        <v>4270</v>
      </c>
      <c r="D653" s="32" t="s">
        <v>65</v>
      </c>
      <c r="E653" s="241">
        <v>5000</v>
      </c>
      <c r="F653" s="193">
        <v>0</v>
      </c>
      <c r="G653" s="161">
        <f t="shared" si="134"/>
        <v>0</v>
      </c>
      <c r="H653" s="265">
        <f t="shared" si="137"/>
        <v>5000</v>
      </c>
      <c r="I653" s="193">
        <f t="shared" si="138"/>
        <v>0</v>
      </c>
      <c r="J653" s="161">
        <f t="shared" si="139"/>
        <v>0</v>
      </c>
      <c r="K653" s="265"/>
      <c r="L653" s="193"/>
      <c r="M653" s="295"/>
    </row>
    <row r="654" spans="1:13" s="17" customFormat="1" ht="11.25">
      <c r="A654" s="36"/>
      <c r="B654" s="36"/>
      <c r="C654" s="31">
        <v>4280</v>
      </c>
      <c r="D654" s="32" t="s">
        <v>51</v>
      </c>
      <c r="E654" s="241">
        <v>1600</v>
      </c>
      <c r="F654" s="193">
        <v>1224.2</v>
      </c>
      <c r="G654" s="161">
        <f t="shared" si="134"/>
        <v>76.5125</v>
      </c>
      <c r="H654" s="265">
        <f t="shared" si="137"/>
        <v>1600</v>
      </c>
      <c r="I654" s="193">
        <f t="shared" si="138"/>
        <v>1224.2</v>
      </c>
      <c r="J654" s="161">
        <f t="shared" si="139"/>
        <v>76.5125</v>
      </c>
      <c r="K654" s="265"/>
      <c r="L654" s="193"/>
      <c r="M654" s="295"/>
    </row>
    <row r="655" spans="1:13" s="17" customFormat="1" ht="11.25">
      <c r="A655" s="36"/>
      <c r="B655" s="36"/>
      <c r="C655" s="31">
        <v>4300</v>
      </c>
      <c r="D655" s="32" t="s">
        <v>39</v>
      </c>
      <c r="E655" s="241">
        <v>123096</v>
      </c>
      <c r="F655" s="193">
        <v>105971.09</v>
      </c>
      <c r="G655" s="161">
        <f t="shared" si="134"/>
        <v>86.08816695912134</v>
      </c>
      <c r="H655" s="265">
        <f t="shared" si="137"/>
        <v>123096</v>
      </c>
      <c r="I655" s="193">
        <f t="shared" si="138"/>
        <v>105971.09</v>
      </c>
      <c r="J655" s="161">
        <f t="shared" si="139"/>
        <v>86.08816695912134</v>
      </c>
      <c r="K655" s="265"/>
      <c r="L655" s="193"/>
      <c r="M655" s="295"/>
    </row>
    <row r="656" spans="1:13" s="17" customFormat="1" ht="15.75" customHeight="1">
      <c r="A656" s="36"/>
      <c r="B656" s="36"/>
      <c r="C656" s="31">
        <v>4360</v>
      </c>
      <c r="D656" s="32" t="s">
        <v>209</v>
      </c>
      <c r="E656" s="241">
        <v>10000</v>
      </c>
      <c r="F656" s="193">
        <v>8420.29</v>
      </c>
      <c r="G656" s="161">
        <f t="shared" si="134"/>
        <v>84.20290000000001</v>
      </c>
      <c r="H656" s="265">
        <f t="shared" si="137"/>
        <v>10000</v>
      </c>
      <c r="I656" s="193">
        <f t="shared" si="138"/>
        <v>8420.29</v>
      </c>
      <c r="J656" s="161">
        <f t="shared" si="139"/>
        <v>84.20290000000001</v>
      </c>
      <c r="K656" s="265"/>
      <c r="L656" s="193"/>
      <c r="M656" s="295"/>
    </row>
    <row r="657" spans="1:13" s="17" customFormat="1" ht="11.25">
      <c r="A657" s="36"/>
      <c r="B657" s="36"/>
      <c r="C657" s="31">
        <v>4410</v>
      </c>
      <c r="D657" s="32" t="s">
        <v>68</v>
      </c>
      <c r="E657" s="241">
        <v>12000</v>
      </c>
      <c r="F657" s="193">
        <v>7520.46</v>
      </c>
      <c r="G657" s="161">
        <f t="shared" si="134"/>
        <v>62.6705</v>
      </c>
      <c r="H657" s="265">
        <f t="shared" si="137"/>
        <v>12000</v>
      </c>
      <c r="I657" s="193">
        <f t="shared" si="138"/>
        <v>7520.46</v>
      </c>
      <c r="J657" s="161">
        <f t="shared" si="139"/>
        <v>62.6705</v>
      </c>
      <c r="K657" s="265"/>
      <c r="L657" s="193"/>
      <c r="M657" s="295"/>
    </row>
    <row r="658" spans="1:13" s="16" customFormat="1" ht="21">
      <c r="A658" s="36"/>
      <c r="B658" s="36"/>
      <c r="C658" s="31">
        <v>4440</v>
      </c>
      <c r="D658" s="32" t="s">
        <v>63</v>
      </c>
      <c r="E658" s="241">
        <v>12154</v>
      </c>
      <c r="F658" s="193">
        <v>12153.01</v>
      </c>
      <c r="G658" s="161">
        <f t="shared" si="134"/>
        <v>99.99185453348692</v>
      </c>
      <c r="H658" s="265">
        <f t="shared" si="137"/>
        <v>12154</v>
      </c>
      <c r="I658" s="193">
        <f t="shared" si="138"/>
        <v>12153.01</v>
      </c>
      <c r="J658" s="161">
        <f t="shared" si="139"/>
        <v>99.99185453348692</v>
      </c>
      <c r="K658" s="265"/>
      <c r="L658" s="193"/>
      <c r="M658" s="295"/>
    </row>
    <row r="659" spans="1:13" s="17" customFormat="1" ht="21">
      <c r="A659" s="46"/>
      <c r="B659" s="46"/>
      <c r="C659" s="41">
        <v>4700</v>
      </c>
      <c r="D659" s="42" t="s">
        <v>171</v>
      </c>
      <c r="E659" s="244">
        <v>10000</v>
      </c>
      <c r="F659" s="188">
        <v>1717.2</v>
      </c>
      <c r="G659" s="160">
        <f t="shared" si="134"/>
        <v>17.172</v>
      </c>
      <c r="H659" s="266">
        <f t="shared" si="137"/>
        <v>10000</v>
      </c>
      <c r="I659" s="190">
        <f t="shared" si="138"/>
        <v>1717.2</v>
      </c>
      <c r="J659" s="347">
        <f t="shared" si="139"/>
        <v>17.172</v>
      </c>
      <c r="K659" s="260"/>
      <c r="L659" s="188"/>
      <c r="M659" s="176"/>
    </row>
    <row r="660" spans="1:13" s="17" customFormat="1" ht="21.75" customHeight="1">
      <c r="A660" s="436"/>
      <c r="B660" s="436">
        <v>90002</v>
      </c>
      <c r="C660" s="436"/>
      <c r="D660" s="437" t="s">
        <v>293</v>
      </c>
      <c r="E660" s="438">
        <f>SUM(E661:E662)</f>
        <v>6290555</v>
      </c>
      <c r="F660" s="439">
        <f>SUM(F661:F662)</f>
        <v>5766613.7</v>
      </c>
      <c r="G660" s="439">
        <f>F660*100/E660</f>
        <v>91.67098451567469</v>
      </c>
      <c r="H660" s="439">
        <f>SUM(H661:H662)</f>
        <v>6265555</v>
      </c>
      <c r="I660" s="439">
        <f>SUM(I661:I662)</f>
        <v>5741767.7</v>
      </c>
      <c r="J660" s="440">
        <f>I660*100/H660</f>
        <v>91.64020904772202</v>
      </c>
      <c r="K660" s="438">
        <f>K662</f>
        <v>25000</v>
      </c>
      <c r="L660" s="439">
        <f>L662</f>
        <v>24846</v>
      </c>
      <c r="M660" s="439">
        <f>M662</f>
        <v>99.384</v>
      </c>
    </row>
    <row r="661" spans="1:13" s="17" customFormat="1" ht="11.25">
      <c r="A661" s="36"/>
      <c r="B661" s="36"/>
      <c r="C661" s="31">
        <v>4300</v>
      </c>
      <c r="D661" s="32" t="s">
        <v>39</v>
      </c>
      <c r="E661" s="241">
        <v>6265555</v>
      </c>
      <c r="F661" s="193">
        <v>5741767.7</v>
      </c>
      <c r="G661" s="161">
        <f>F661*100/E661</f>
        <v>91.64020904772202</v>
      </c>
      <c r="H661" s="265">
        <f>E661</f>
        <v>6265555</v>
      </c>
      <c r="I661" s="193">
        <f>F661</f>
        <v>5741767.7</v>
      </c>
      <c r="J661" s="161">
        <f>I661*100/H661</f>
        <v>91.64020904772202</v>
      </c>
      <c r="K661" s="264"/>
      <c r="L661" s="192"/>
      <c r="M661" s="162"/>
    </row>
    <row r="662" spans="1:13" s="17" customFormat="1" ht="21">
      <c r="A662" s="46"/>
      <c r="B662" s="46"/>
      <c r="C662" s="41">
        <v>6060</v>
      </c>
      <c r="D662" s="42" t="s">
        <v>117</v>
      </c>
      <c r="E662" s="244">
        <v>25000</v>
      </c>
      <c r="F662" s="188">
        <v>24846</v>
      </c>
      <c r="G662" s="160">
        <f>F662*100/E662</f>
        <v>99.384</v>
      </c>
      <c r="H662" s="373"/>
      <c r="I662" s="373"/>
      <c r="J662" s="429"/>
      <c r="K662" s="266">
        <f>E662</f>
        <v>25000</v>
      </c>
      <c r="L662" s="190">
        <f>F662</f>
        <v>24846</v>
      </c>
      <c r="M662" s="160">
        <f>L662*100/K662</f>
        <v>99.384</v>
      </c>
    </row>
    <row r="663" spans="1:13" s="17" customFormat="1" ht="15" customHeight="1">
      <c r="A663" s="105"/>
      <c r="B663" s="105">
        <v>90003</v>
      </c>
      <c r="C663" s="105"/>
      <c r="D663" s="107" t="s">
        <v>76</v>
      </c>
      <c r="E663" s="240">
        <f>SUM(E664:E666)</f>
        <v>531030</v>
      </c>
      <c r="F663" s="108">
        <f>SUM(F664:F666)</f>
        <v>515328.61</v>
      </c>
      <c r="G663" s="156">
        <f t="shared" si="134"/>
        <v>97.04321978042672</v>
      </c>
      <c r="H663" s="240">
        <f>SUM(H664:H666)</f>
        <v>531030</v>
      </c>
      <c r="I663" s="340">
        <f>SUM(I664:I666)</f>
        <v>515328.61</v>
      </c>
      <c r="J663" s="156">
        <f aca="true" t="shared" si="140" ref="J663:J681">I663*100/H663</f>
        <v>97.04321978042672</v>
      </c>
      <c r="K663" s="240"/>
      <c r="L663" s="108"/>
      <c r="M663" s="156"/>
    </row>
    <row r="664" spans="1:13" s="17" customFormat="1" ht="11.25">
      <c r="A664" s="33"/>
      <c r="B664" s="33"/>
      <c r="C664" s="31">
        <v>4210</v>
      </c>
      <c r="D664" s="32" t="s">
        <v>35</v>
      </c>
      <c r="E664" s="241">
        <v>1000</v>
      </c>
      <c r="F664" s="64">
        <v>980</v>
      </c>
      <c r="G664" s="161">
        <f t="shared" si="134"/>
        <v>98</v>
      </c>
      <c r="H664" s="265">
        <f>E664</f>
        <v>1000</v>
      </c>
      <c r="I664" s="193">
        <f>F664</f>
        <v>980</v>
      </c>
      <c r="J664" s="161">
        <f t="shared" si="140"/>
        <v>98</v>
      </c>
      <c r="K664" s="65"/>
      <c r="L664" s="64"/>
      <c r="M664" s="168"/>
    </row>
    <row r="665" spans="1:13" s="17" customFormat="1" ht="11.25">
      <c r="A665" s="36"/>
      <c r="B665" s="36"/>
      <c r="C665" s="31">
        <v>4270</v>
      </c>
      <c r="D665" s="32" t="s">
        <v>65</v>
      </c>
      <c r="E665" s="241">
        <v>1000</v>
      </c>
      <c r="F665" s="64">
        <v>0</v>
      </c>
      <c r="G665" s="161"/>
      <c r="H665" s="265">
        <f>E665</f>
        <v>1000</v>
      </c>
      <c r="I665" s="193"/>
      <c r="J665" s="161"/>
      <c r="K665" s="65"/>
      <c r="L665" s="64"/>
      <c r="M665" s="168"/>
    </row>
    <row r="666" spans="1:13" s="17" customFormat="1" ht="11.25">
      <c r="A666" s="46"/>
      <c r="B666" s="46"/>
      <c r="C666" s="41">
        <v>4300</v>
      </c>
      <c r="D666" s="42" t="s">
        <v>39</v>
      </c>
      <c r="E666" s="244">
        <v>529030</v>
      </c>
      <c r="F666" s="188">
        <v>514348.61</v>
      </c>
      <c r="G666" s="160">
        <f t="shared" si="134"/>
        <v>97.22484736215337</v>
      </c>
      <c r="H666" s="266">
        <f>E666</f>
        <v>529030</v>
      </c>
      <c r="I666" s="190">
        <f>F666</f>
        <v>514348.61</v>
      </c>
      <c r="J666" s="160">
        <f t="shared" si="140"/>
        <v>97.22484736215337</v>
      </c>
      <c r="K666" s="260"/>
      <c r="L666" s="188"/>
      <c r="M666" s="176"/>
    </row>
    <row r="667" spans="1:13" s="17" customFormat="1" ht="15" customHeight="1">
      <c r="A667" s="105"/>
      <c r="B667" s="105">
        <v>90004</v>
      </c>
      <c r="C667" s="105"/>
      <c r="D667" s="107" t="s">
        <v>142</v>
      </c>
      <c r="E667" s="240">
        <f>SUM(E668:E668)</f>
        <v>495000</v>
      </c>
      <c r="F667" s="108">
        <f>SUM(F668:F668)</f>
        <v>494953.31</v>
      </c>
      <c r="G667" s="156">
        <f t="shared" si="134"/>
        <v>99.99056767676768</v>
      </c>
      <c r="H667" s="240">
        <f>SUM(H668:H668)</f>
        <v>495000</v>
      </c>
      <c r="I667" s="108">
        <f>SUM(I668:I668)</f>
        <v>494953.31</v>
      </c>
      <c r="J667" s="156">
        <f t="shared" si="140"/>
        <v>99.99056767676768</v>
      </c>
      <c r="K667" s="240"/>
      <c r="L667" s="108"/>
      <c r="M667" s="156"/>
    </row>
    <row r="668" spans="1:13" s="17" customFormat="1" ht="11.25">
      <c r="A668" s="125"/>
      <c r="B668" s="125"/>
      <c r="C668" s="31">
        <v>4300</v>
      </c>
      <c r="D668" s="32" t="s">
        <v>39</v>
      </c>
      <c r="E668" s="252">
        <v>495000</v>
      </c>
      <c r="F668" s="203">
        <v>494953.31</v>
      </c>
      <c r="G668" s="161">
        <f aca="true" t="shared" si="141" ref="G668:G731">F668*100/E668</f>
        <v>99.99056767676768</v>
      </c>
      <c r="H668" s="321">
        <f aca="true" t="shared" si="142" ref="H668:I672">E668</f>
        <v>495000</v>
      </c>
      <c r="I668" s="316">
        <f t="shared" si="142"/>
        <v>494953.31</v>
      </c>
      <c r="J668" s="161">
        <f t="shared" si="140"/>
        <v>99.99056767676768</v>
      </c>
      <c r="K668" s="275"/>
      <c r="L668" s="212"/>
      <c r="M668" s="174"/>
    </row>
    <row r="669" spans="1:13" s="18" customFormat="1" ht="21">
      <c r="A669" s="105"/>
      <c r="B669" s="105">
        <v>90005</v>
      </c>
      <c r="C669" s="105"/>
      <c r="D669" s="107" t="s">
        <v>247</v>
      </c>
      <c r="E669" s="240">
        <f>SUM(E670:E672)</f>
        <v>157183</v>
      </c>
      <c r="F669" s="108">
        <f>SUM(F670:F672)</f>
        <v>92378.78</v>
      </c>
      <c r="G669" s="156">
        <f>F669*100/E669</f>
        <v>58.77148292118105</v>
      </c>
      <c r="H669" s="240">
        <f>SUM(H670:H672)</f>
        <v>157183</v>
      </c>
      <c r="I669" s="108">
        <f>SUM(I670:I672)</f>
        <v>92378.78</v>
      </c>
      <c r="J669" s="108">
        <f>SUM(J670:J672)</f>
        <v>148.25079354858553</v>
      </c>
      <c r="K669" s="240"/>
      <c r="L669" s="108"/>
      <c r="M669" s="108"/>
    </row>
    <row r="670" spans="1:13" s="18" customFormat="1" ht="11.25">
      <c r="A670" s="33"/>
      <c r="B670" s="33"/>
      <c r="C670" s="31">
        <v>4300</v>
      </c>
      <c r="D670" s="32" t="s">
        <v>39</v>
      </c>
      <c r="E670" s="241">
        <v>102041</v>
      </c>
      <c r="F670" s="64">
        <v>49237.65</v>
      </c>
      <c r="G670" s="162">
        <f>F670*100/E670</f>
        <v>48.25281014494174</v>
      </c>
      <c r="H670" s="265">
        <f>E670</f>
        <v>102041</v>
      </c>
      <c r="I670" s="265">
        <f>F670</f>
        <v>49237.65</v>
      </c>
      <c r="J670" s="265">
        <f>G670</f>
        <v>48.25281014494174</v>
      </c>
      <c r="K670" s="65"/>
      <c r="L670" s="64"/>
      <c r="M670" s="168"/>
    </row>
    <row r="671" spans="1:13" s="17" customFormat="1" ht="21">
      <c r="A671" s="125"/>
      <c r="B671" s="125"/>
      <c r="C671" s="19">
        <v>4390</v>
      </c>
      <c r="D671" s="21" t="s">
        <v>248</v>
      </c>
      <c r="E671" s="379">
        <v>12000</v>
      </c>
      <c r="F671" s="210">
        <v>0</v>
      </c>
      <c r="G671" s="162">
        <f>F671*100/E671</f>
        <v>0</v>
      </c>
      <c r="H671" s="270">
        <f t="shared" si="142"/>
        <v>12000</v>
      </c>
      <c r="I671" s="210">
        <f t="shared" si="142"/>
        <v>0</v>
      </c>
      <c r="J671" s="380">
        <f>G671</f>
        <v>0</v>
      </c>
      <c r="K671" s="381"/>
      <c r="L671" s="382"/>
      <c r="M671" s="383"/>
    </row>
    <row r="672" spans="1:13" s="17" customFormat="1" ht="11.25">
      <c r="A672" s="125"/>
      <c r="B672" s="125"/>
      <c r="C672" s="19">
        <v>4530</v>
      </c>
      <c r="D672" s="21" t="s">
        <v>202</v>
      </c>
      <c r="E672" s="252">
        <v>43142</v>
      </c>
      <c r="F672" s="203">
        <v>43141.13</v>
      </c>
      <c r="G672" s="162">
        <f>F672*100/E672</f>
        <v>99.99798340364379</v>
      </c>
      <c r="H672" s="399">
        <f>E672</f>
        <v>43142</v>
      </c>
      <c r="I672" s="400">
        <f t="shared" si="142"/>
        <v>43141.13</v>
      </c>
      <c r="J672" s="400">
        <f>G672</f>
        <v>99.99798340364379</v>
      </c>
      <c r="K672" s="270"/>
      <c r="L672" s="210"/>
      <c r="M672" s="162"/>
    </row>
    <row r="673" spans="1:13" s="17" customFormat="1" ht="21">
      <c r="A673" s="105"/>
      <c r="B673" s="105">
        <v>90008</v>
      </c>
      <c r="C673" s="105"/>
      <c r="D673" s="107" t="s">
        <v>281</v>
      </c>
      <c r="E673" s="240">
        <f aca="true" t="shared" si="143" ref="E673:J673">E674</f>
        <v>30000</v>
      </c>
      <c r="F673" s="108">
        <f t="shared" si="143"/>
        <v>4950</v>
      </c>
      <c r="G673" s="240">
        <f t="shared" si="143"/>
        <v>16.5</v>
      </c>
      <c r="H673" s="240">
        <f t="shared" si="143"/>
        <v>30000</v>
      </c>
      <c r="I673" s="108">
        <f t="shared" si="143"/>
        <v>4950</v>
      </c>
      <c r="J673" s="108">
        <f t="shared" si="143"/>
        <v>16.5</v>
      </c>
      <c r="K673" s="240"/>
      <c r="L673" s="240"/>
      <c r="M673" s="240"/>
    </row>
    <row r="674" spans="1:13" s="17" customFormat="1" ht="11.25">
      <c r="A674" s="125"/>
      <c r="B674" s="125"/>
      <c r="C674" s="19">
        <v>4300</v>
      </c>
      <c r="D674" s="21" t="s">
        <v>39</v>
      </c>
      <c r="E674" s="252">
        <v>30000</v>
      </c>
      <c r="F674" s="203">
        <v>4950</v>
      </c>
      <c r="G674" s="162">
        <f>F674*100/E674</f>
        <v>16.5</v>
      </c>
      <c r="H674" s="401">
        <f>E674</f>
        <v>30000</v>
      </c>
      <c r="I674" s="402">
        <f>F674</f>
        <v>4950</v>
      </c>
      <c r="J674" s="402">
        <f>G674</f>
        <v>16.5</v>
      </c>
      <c r="K674" s="270"/>
      <c r="L674" s="210"/>
      <c r="M674" s="162"/>
    </row>
    <row r="675" spans="1:13" s="17" customFormat="1" ht="11.25">
      <c r="A675" s="105"/>
      <c r="B675" s="105">
        <v>90015</v>
      </c>
      <c r="C675" s="105"/>
      <c r="D675" s="107" t="s">
        <v>19</v>
      </c>
      <c r="E675" s="240">
        <f>SUM(E676:E682)</f>
        <v>1695916</v>
      </c>
      <c r="F675" s="108">
        <f>SUM(F676:F682)</f>
        <v>1624253.51</v>
      </c>
      <c r="G675" s="156">
        <f>F675*100/E675</f>
        <v>95.77440804851183</v>
      </c>
      <c r="H675" s="240">
        <f>SUM(H676:H682)</f>
        <v>1413625</v>
      </c>
      <c r="I675" s="108">
        <f>SUM(I676:I682)</f>
        <v>1342829.51</v>
      </c>
      <c r="J675" s="156">
        <f t="shared" si="140"/>
        <v>94.99191864886373</v>
      </c>
      <c r="K675" s="240">
        <f>K682</f>
        <v>282291</v>
      </c>
      <c r="L675" s="108">
        <f>L682</f>
        <v>281424</v>
      </c>
      <c r="M675" s="156">
        <f>L675*100/K675</f>
        <v>99.69287012338332</v>
      </c>
    </row>
    <row r="676" spans="1:13" s="17" customFormat="1" ht="11.25">
      <c r="A676" s="36"/>
      <c r="B676" s="36"/>
      <c r="C676" s="31">
        <v>4110</v>
      </c>
      <c r="D676" s="32" t="s">
        <v>104</v>
      </c>
      <c r="E676" s="241">
        <v>5900</v>
      </c>
      <c r="F676" s="64">
        <v>5260.2</v>
      </c>
      <c r="G676" s="162">
        <f>F676*100/E676</f>
        <v>89.15593220338982</v>
      </c>
      <c r="H676" s="265">
        <f aca="true" t="shared" si="144" ref="H676:J677">E676</f>
        <v>5900</v>
      </c>
      <c r="I676" s="193">
        <f t="shared" si="144"/>
        <v>5260.2</v>
      </c>
      <c r="J676" s="193">
        <f t="shared" si="144"/>
        <v>89.15593220338982</v>
      </c>
      <c r="K676" s="65"/>
      <c r="L676" s="64"/>
      <c r="M676" s="168"/>
    </row>
    <row r="677" spans="1:13" s="17" customFormat="1" ht="11.25">
      <c r="A677" s="36"/>
      <c r="B677" s="36"/>
      <c r="C677" s="31">
        <v>4170</v>
      </c>
      <c r="D677" s="32" t="s">
        <v>114</v>
      </c>
      <c r="E677" s="241">
        <v>30600</v>
      </c>
      <c r="F677" s="64">
        <v>30600</v>
      </c>
      <c r="G677" s="162">
        <f>F677*100/E677</f>
        <v>100</v>
      </c>
      <c r="H677" s="265">
        <f t="shared" si="144"/>
        <v>30600</v>
      </c>
      <c r="I677" s="193">
        <f t="shared" si="144"/>
        <v>30600</v>
      </c>
      <c r="J677" s="193">
        <f t="shared" si="144"/>
        <v>100</v>
      </c>
      <c r="K677" s="65"/>
      <c r="L677" s="64"/>
      <c r="M677" s="168"/>
    </row>
    <row r="678" spans="1:13" s="17" customFormat="1" ht="11.25">
      <c r="A678" s="36"/>
      <c r="B678" s="36"/>
      <c r="C678" s="19">
        <v>4210</v>
      </c>
      <c r="D678" s="21" t="s">
        <v>73</v>
      </c>
      <c r="E678" s="246">
        <v>2000</v>
      </c>
      <c r="F678" s="72">
        <v>0</v>
      </c>
      <c r="G678" s="162">
        <f t="shared" si="141"/>
        <v>0</v>
      </c>
      <c r="H678" s="264">
        <f aca="true" t="shared" si="145" ref="H678:I681">E678</f>
        <v>2000</v>
      </c>
      <c r="I678" s="192">
        <f t="shared" si="145"/>
        <v>0</v>
      </c>
      <c r="J678" s="162">
        <f>I678*100/H678</f>
        <v>0</v>
      </c>
      <c r="K678" s="71"/>
      <c r="L678" s="72"/>
      <c r="M678" s="177"/>
    </row>
    <row r="679" spans="1:13" s="17" customFormat="1" ht="11.25">
      <c r="A679" s="36"/>
      <c r="B679" s="36"/>
      <c r="C679" s="31">
        <v>4260</v>
      </c>
      <c r="D679" s="32" t="s">
        <v>61</v>
      </c>
      <c r="E679" s="241">
        <v>1205660</v>
      </c>
      <c r="F679" s="64">
        <v>1159306.53</v>
      </c>
      <c r="G679" s="161">
        <f t="shared" si="141"/>
        <v>96.15534479040525</v>
      </c>
      <c r="H679" s="265">
        <f t="shared" si="145"/>
        <v>1205660</v>
      </c>
      <c r="I679" s="193">
        <f t="shared" si="145"/>
        <v>1159306.53</v>
      </c>
      <c r="J679" s="161">
        <f t="shared" si="140"/>
        <v>96.15534479040525</v>
      </c>
      <c r="K679" s="65"/>
      <c r="L679" s="64"/>
      <c r="M679" s="168"/>
    </row>
    <row r="680" spans="1:13" s="17" customFormat="1" ht="11.25">
      <c r="A680" s="36"/>
      <c r="B680" s="36"/>
      <c r="C680" s="31">
        <v>4270</v>
      </c>
      <c r="D680" s="32" t="s">
        <v>54</v>
      </c>
      <c r="E680" s="241">
        <v>136165</v>
      </c>
      <c r="F680" s="64">
        <v>134753.5</v>
      </c>
      <c r="G680" s="161">
        <f t="shared" si="141"/>
        <v>98.96339000477361</v>
      </c>
      <c r="H680" s="265">
        <f t="shared" si="145"/>
        <v>136165</v>
      </c>
      <c r="I680" s="193">
        <f t="shared" si="145"/>
        <v>134753.5</v>
      </c>
      <c r="J680" s="161">
        <f t="shared" si="140"/>
        <v>98.96339000477361</v>
      </c>
      <c r="K680" s="65"/>
      <c r="L680" s="64"/>
      <c r="M680" s="168"/>
    </row>
    <row r="681" spans="1:13" s="17" customFormat="1" ht="11.25">
      <c r="A681" s="36"/>
      <c r="B681" s="36"/>
      <c r="C681" s="33">
        <v>4300</v>
      </c>
      <c r="D681" s="34" t="s">
        <v>39</v>
      </c>
      <c r="E681" s="245">
        <v>33300</v>
      </c>
      <c r="F681" s="189">
        <v>12909.28</v>
      </c>
      <c r="G681" s="164">
        <f t="shared" si="141"/>
        <v>38.76660660660661</v>
      </c>
      <c r="H681" s="265">
        <f t="shared" si="145"/>
        <v>33300</v>
      </c>
      <c r="I681" s="193">
        <f t="shared" si="145"/>
        <v>12909.28</v>
      </c>
      <c r="J681" s="161">
        <f t="shared" si="140"/>
        <v>38.76660660660661</v>
      </c>
      <c r="K681" s="261"/>
      <c r="L681" s="189"/>
      <c r="M681" s="178"/>
    </row>
    <row r="682" spans="1:13" s="17" customFormat="1" ht="11.25">
      <c r="A682" s="46"/>
      <c r="B682" s="46"/>
      <c r="C682" s="41">
        <v>6050</v>
      </c>
      <c r="D682" s="42" t="s">
        <v>64</v>
      </c>
      <c r="E682" s="244">
        <v>282291</v>
      </c>
      <c r="F682" s="188">
        <v>281424</v>
      </c>
      <c r="G682" s="160">
        <f t="shared" si="141"/>
        <v>99.69287012338332</v>
      </c>
      <c r="H682" s="265"/>
      <c r="I682" s="193"/>
      <c r="J682" s="161"/>
      <c r="K682" s="260">
        <f>E682</f>
        <v>282291</v>
      </c>
      <c r="L682" s="188">
        <f>F682</f>
        <v>281424</v>
      </c>
      <c r="M682" s="176">
        <f>L682*100/K682</f>
        <v>99.69287012338332</v>
      </c>
    </row>
    <row r="683" spans="1:13" s="17" customFormat="1" ht="31.5">
      <c r="A683" s="105"/>
      <c r="B683" s="105">
        <v>90019</v>
      </c>
      <c r="C683" s="105"/>
      <c r="D683" s="118" t="s">
        <v>167</v>
      </c>
      <c r="E683" s="240">
        <f>SUM(E684:E684)</f>
        <v>25970</v>
      </c>
      <c r="F683" s="108">
        <f>SUM(F684:F684)</f>
        <v>15990</v>
      </c>
      <c r="G683" s="156">
        <f t="shared" si="141"/>
        <v>61.57104351174432</v>
      </c>
      <c r="H683" s="240">
        <f>SUM(H684:H684)</f>
        <v>25970</v>
      </c>
      <c r="I683" s="108">
        <f>SUM(I684:I684)</f>
        <v>15990</v>
      </c>
      <c r="J683" s="156">
        <f aca="true" t="shared" si="146" ref="J683:J692">I683*100/H683</f>
        <v>61.57104351174432</v>
      </c>
      <c r="K683" s="240"/>
      <c r="L683" s="108"/>
      <c r="M683" s="156"/>
    </row>
    <row r="684" spans="1:13" s="17" customFormat="1" ht="21">
      <c r="A684" s="36"/>
      <c r="B684" s="36"/>
      <c r="C684" s="19">
        <v>4390</v>
      </c>
      <c r="D684" s="21" t="s">
        <v>221</v>
      </c>
      <c r="E684" s="246">
        <v>25970</v>
      </c>
      <c r="F684" s="342">
        <v>15990</v>
      </c>
      <c r="G684" s="162">
        <f t="shared" si="141"/>
        <v>61.57104351174432</v>
      </c>
      <c r="H684" s="264">
        <f>E684</f>
        <v>25970</v>
      </c>
      <c r="I684" s="192">
        <f>F684</f>
        <v>15990</v>
      </c>
      <c r="J684" s="162">
        <f t="shared" si="146"/>
        <v>61.57104351174432</v>
      </c>
      <c r="K684" s="71"/>
      <c r="L684" s="72"/>
      <c r="M684" s="177"/>
    </row>
    <row r="685" spans="1:13" s="17" customFormat="1" ht="11.25">
      <c r="A685" s="105"/>
      <c r="B685" s="105">
        <v>90095</v>
      </c>
      <c r="C685" s="105"/>
      <c r="D685" s="107" t="s">
        <v>6</v>
      </c>
      <c r="E685" s="240">
        <f>SUM(E686:E689)</f>
        <v>309100</v>
      </c>
      <c r="F685" s="108">
        <f>SUM(F686:F689)</f>
        <v>296049.11</v>
      </c>
      <c r="G685" s="156">
        <f t="shared" si="141"/>
        <v>95.77777741831123</v>
      </c>
      <c r="H685" s="240">
        <f>SUM(H686:H689)</f>
        <v>309100</v>
      </c>
      <c r="I685" s="108">
        <f>SUM(I686:I689)</f>
        <v>296049.11</v>
      </c>
      <c r="J685" s="156">
        <f t="shared" si="146"/>
        <v>95.77777741831123</v>
      </c>
      <c r="K685" s="240"/>
      <c r="L685" s="108"/>
      <c r="M685" s="108"/>
    </row>
    <row r="686" spans="1:13" s="17" customFormat="1" ht="11.25">
      <c r="A686" s="70"/>
      <c r="B686" s="70"/>
      <c r="C686" s="39">
        <v>4190</v>
      </c>
      <c r="D686" s="116" t="s">
        <v>215</v>
      </c>
      <c r="E686" s="61">
        <v>3500</v>
      </c>
      <c r="F686" s="314">
        <v>3500</v>
      </c>
      <c r="G686" s="177">
        <f t="shared" si="141"/>
        <v>100</v>
      </c>
      <c r="H686" s="61">
        <f aca="true" t="shared" si="147" ref="H686:I689">E686</f>
        <v>3500</v>
      </c>
      <c r="I686" s="314">
        <f t="shared" si="147"/>
        <v>3500</v>
      </c>
      <c r="J686" s="177">
        <f t="shared" si="146"/>
        <v>100</v>
      </c>
      <c r="K686" s="61"/>
      <c r="L686" s="314"/>
      <c r="M686" s="177"/>
    </row>
    <row r="687" spans="1:13" s="17" customFormat="1" ht="11.25">
      <c r="A687" s="70"/>
      <c r="B687" s="70"/>
      <c r="C687" s="38">
        <v>4210</v>
      </c>
      <c r="D687" s="74" t="s">
        <v>73</v>
      </c>
      <c r="E687" s="57">
        <v>6500</v>
      </c>
      <c r="F687" s="58">
        <v>999.11</v>
      </c>
      <c r="G687" s="177">
        <f t="shared" si="141"/>
        <v>15.370923076923077</v>
      </c>
      <c r="H687" s="57">
        <f t="shared" si="147"/>
        <v>6500</v>
      </c>
      <c r="I687" s="58">
        <f t="shared" si="147"/>
        <v>999.11</v>
      </c>
      <c r="J687" s="307">
        <f t="shared" si="146"/>
        <v>15.370923076923077</v>
      </c>
      <c r="K687" s="57"/>
      <c r="L687" s="58"/>
      <c r="M687" s="168"/>
    </row>
    <row r="688" spans="1:13" s="16" customFormat="1" ht="11.25">
      <c r="A688" s="70"/>
      <c r="B688" s="70"/>
      <c r="C688" s="70">
        <v>4270</v>
      </c>
      <c r="D688" s="104" t="s">
        <v>54</v>
      </c>
      <c r="E688" s="249">
        <v>5500</v>
      </c>
      <c r="F688" s="314">
        <v>4500</v>
      </c>
      <c r="G688" s="177">
        <f t="shared" si="141"/>
        <v>81.81818181818181</v>
      </c>
      <c r="H688" s="61">
        <f t="shared" si="147"/>
        <v>5500</v>
      </c>
      <c r="I688" s="314">
        <f t="shared" si="147"/>
        <v>4500</v>
      </c>
      <c r="J688" s="168">
        <f t="shared" si="146"/>
        <v>81.81818181818181</v>
      </c>
      <c r="K688" s="57"/>
      <c r="L688" s="58"/>
      <c r="M688" s="168"/>
    </row>
    <row r="689" spans="1:13" s="16" customFormat="1" ht="11.25">
      <c r="A689" s="408"/>
      <c r="B689" s="408"/>
      <c r="C689" s="360">
        <v>4300</v>
      </c>
      <c r="D689" s="409" t="s">
        <v>39</v>
      </c>
      <c r="E689" s="59">
        <v>293600</v>
      </c>
      <c r="F689" s="188">
        <v>287050</v>
      </c>
      <c r="G689" s="176">
        <f t="shared" si="141"/>
        <v>97.76907356948229</v>
      </c>
      <c r="H689" s="59">
        <f t="shared" si="147"/>
        <v>293600</v>
      </c>
      <c r="I689" s="342">
        <f t="shared" si="147"/>
        <v>287050</v>
      </c>
      <c r="J689" s="176">
        <f t="shared" si="146"/>
        <v>97.76907356948229</v>
      </c>
      <c r="K689" s="260"/>
      <c r="L689" s="188"/>
      <c r="M689" s="176"/>
    </row>
    <row r="690" spans="1:13" s="18" customFormat="1" ht="30.75" customHeight="1">
      <c r="A690" s="285">
        <v>921</v>
      </c>
      <c r="B690" s="285"/>
      <c r="C690" s="285"/>
      <c r="D690" s="286" t="s">
        <v>77</v>
      </c>
      <c r="E690" s="287">
        <f>SUM(E691,E693,E698,E695)</f>
        <v>4900000</v>
      </c>
      <c r="F690" s="288">
        <f>SUM(F691,F693,F698,F695)</f>
        <v>4877371</v>
      </c>
      <c r="G690" s="441">
        <f t="shared" si="141"/>
        <v>99.53818367346939</v>
      </c>
      <c r="H690" s="287">
        <f>SUM(H691,H693,H698,H695)</f>
        <v>4850000</v>
      </c>
      <c r="I690" s="288">
        <f>SUM(I691,I693,I698,I695)</f>
        <v>4841960</v>
      </c>
      <c r="J690" s="442">
        <f t="shared" si="146"/>
        <v>99.83422680412372</v>
      </c>
      <c r="K690" s="287">
        <f>K698</f>
        <v>50000</v>
      </c>
      <c r="L690" s="288">
        <f>L698</f>
        <v>35411</v>
      </c>
      <c r="M690" s="288">
        <f>M698</f>
        <v>70.822</v>
      </c>
    </row>
    <row r="691" spans="1:13" s="17" customFormat="1" ht="14.25" customHeight="1">
      <c r="A691" s="105"/>
      <c r="B691" s="105">
        <v>92109</v>
      </c>
      <c r="C691" s="105"/>
      <c r="D691" s="107" t="s">
        <v>78</v>
      </c>
      <c r="E691" s="240">
        <f>SUM(E692:E692)</f>
        <v>3590000</v>
      </c>
      <c r="F691" s="108">
        <f>SUM(F692:F692)</f>
        <v>3590000</v>
      </c>
      <c r="G691" s="156">
        <f t="shared" si="141"/>
        <v>100</v>
      </c>
      <c r="H691" s="240">
        <f>SUM(H692:H692)</f>
        <v>3590000</v>
      </c>
      <c r="I691" s="108">
        <f>SUM(I692:I692)</f>
        <v>3590000</v>
      </c>
      <c r="J691" s="156">
        <f t="shared" si="146"/>
        <v>100</v>
      </c>
      <c r="K691" s="240"/>
      <c r="L691" s="108"/>
      <c r="M691" s="156"/>
    </row>
    <row r="692" spans="1:13" s="17" customFormat="1" ht="28.5" customHeight="1">
      <c r="A692" s="33"/>
      <c r="B692" s="33"/>
      <c r="C692" s="31">
        <v>2480</v>
      </c>
      <c r="D692" s="32" t="s">
        <v>111</v>
      </c>
      <c r="E692" s="241">
        <v>3590000</v>
      </c>
      <c r="F692" s="64">
        <v>3590000</v>
      </c>
      <c r="G692" s="161">
        <f t="shared" si="141"/>
        <v>100</v>
      </c>
      <c r="H692" s="265">
        <f>E692</f>
        <v>3590000</v>
      </c>
      <c r="I692" s="193">
        <f>F692</f>
        <v>3590000</v>
      </c>
      <c r="J692" s="161">
        <f t="shared" si="146"/>
        <v>100</v>
      </c>
      <c r="K692" s="65"/>
      <c r="L692" s="64"/>
      <c r="M692" s="168"/>
    </row>
    <row r="693" spans="1:13" s="17" customFormat="1" ht="12.75" customHeight="1">
      <c r="A693" s="105"/>
      <c r="B693" s="105">
        <v>92116</v>
      </c>
      <c r="C693" s="105"/>
      <c r="D693" s="107" t="s">
        <v>87</v>
      </c>
      <c r="E693" s="240">
        <f>E694</f>
        <v>1200000</v>
      </c>
      <c r="F693" s="108">
        <f>F694</f>
        <v>1200000</v>
      </c>
      <c r="G693" s="156">
        <f t="shared" si="141"/>
        <v>100</v>
      </c>
      <c r="H693" s="240">
        <f>H694</f>
        <v>1200000</v>
      </c>
      <c r="I693" s="108">
        <f>I694</f>
        <v>1200000</v>
      </c>
      <c r="J693" s="156">
        <f>I693*100/H693</f>
        <v>100</v>
      </c>
      <c r="K693" s="240"/>
      <c r="L693" s="108"/>
      <c r="M693" s="156"/>
    </row>
    <row r="694" spans="1:13" s="17" customFormat="1" ht="23.25" customHeight="1">
      <c r="A694" s="46"/>
      <c r="B694" s="46"/>
      <c r="C694" s="41">
        <v>2480</v>
      </c>
      <c r="D694" s="42" t="s">
        <v>111</v>
      </c>
      <c r="E694" s="244">
        <v>1200000</v>
      </c>
      <c r="F694" s="188">
        <v>1200000</v>
      </c>
      <c r="G694" s="166">
        <f t="shared" si="141"/>
        <v>100</v>
      </c>
      <c r="H694" s="269">
        <f>E694</f>
        <v>1200000</v>
      </c>
      <c r="I694" s="202">
        <f>F694</f>
        <v>1200000</v>
      </c>
      <c r="J694" s="166">
        <f>I694*100/H694</f>
        <v>100</v>
      </c>
      <c r="K694" s="259"/>
      <c r="L694" s="187"/>
      <c r="M694" s="175"/>
    </row>
    <row r="695" spans="1:13" s="17" customFormat="1" ht="36" customHeight="1">
      <c r="A695" s="105"/>
      <c r="B695" s="105">
        <v>92127</v>
      </c>
      <c r="C695" s="105"/>
      <c r="D695" s="107" t="s">
        <v>249</v>
      </c>
      <c r="E695" s="240">
        <f>SUM(E696:E697)</f>
        <v>8000</v>
      </c>
      <c r="F695" s="108">
        <f>SUM(F696:F697)</f>
        <v>850</v>
      </c>
      <c r="G695" s="156">
        <f>F695*100/E695</f>
        <v>10.625</v>
      </c>
      <c r="H695" s="240">
        <f aca="true" t="shared" si="148" ref="H695:I697">E695</f>
        <v>8000</v>
      </c>
      <c r="I695" s="108">
        <f t="shared" si="148"/>
        <v>850</v>
      </c>
      <c r="J695" s="156">
        <f>G695</f>
        <v>10.625</v>
      </c>
      <c r="K695" s="240"/>
      <c r="L695" s="108"/>
      <c r="M695" s="156"/>
    </row>
    <row r="696" spans="1:13" s="17" customFormat="1" ht="12.75" customHeight="1">
      <c r="A696" s="36"/>
      <c r="B696" s="36"/>
      <c r="C696" s="19">
        <v>4210</v>
      </c>
      <c r="D696" s="21" t="s">
        <v>73</v>
      </c>
      <c r="E696" s="246">
        <v>2000</v>
      </c>
      <c r="F696" s="72">
        <v>850</v>
      </c>
      <c r="G696" s="177">
        <f>F696*100/E696</f>
        <v>42.5</v>
      </c>
      <c r="H696" s="61">
        <f t="shared" si="148"/>
        <v>2000</v>
      </c>
      <c r="I696" s="314">
        <f t="shared" si="148"/>
        <v>850</v>
      </c>
      <c r="J696" s="177">
        <f>G696</f>
        <v>42.5</v>
      </c>
      <c r="K696" s="71"/>
      <c r="L696" s="72"/>
      <c r="M696" s="177"/>
    </row>
    <row r="697" spans="1:13" s="16" customFormat="1" ht="11.25">
      <c r="A697" s="46"/>
      <c r="B697" s="46"/>
      <c r="C697" s="46">
        <v>4300</v>
      </c>
      <c r="D697" s="94" t="s">
        <v>39</v>
      </c>
      <c r="E697" s="247">
        <v>6000</v>
      </c>
      <c r="F697" s="187">
        <v>0</v>
      </c>
      <c r="G697" s="175">
        <f>F697*100/E697</f>
        <v>0</v>
      </c>
      <c r="H697" s="341">
        <f t="shared" si="148"/>
        <v>6000</v>
      </c>
      <c r="I697" s="342">
        <f t="shared" si="148"/>
        <v>0</v>
      </c>
      <c r="J697" s="175">
        <f>G697</f>
        <v>0</v>
      </c>
      <c r="K697" s="259"/>
      <c r="L697" s="187"/>
      <c r="M697" s="175"/>
    </row>
    <row r="698" spans="1:13" s="16" customFormat="1" ht="19.5" customHeight="1">
      <c r="A698" s="105"/>
      <c r="B698" s="105">
        <v>92195</v>
      </c>
      <c r="C698" s="105"/>
      <c r="D698" s="107" t="s">
        <v>6</v>
      </c>
      <c r="E698" s="240">
        <f>SUM(E699:E700)</f>
        <v>102000</v>
      </c>
      <c r="F698" s="108">
        <f>SUM(F699:F700)</f>
        <v>86521</v>
      </c>
      <c r="G698" s="156">
        <f t="shared" si="141"/>
        <v>84.82450980392157</v>
      </c>
      <c r="H698" s="240">
        <f>SUM(H699:H700)</f>
        <v>52000</v>
      </c>
      <c r="I698" s="108">
        <f>SUM(I699:I700)</f>
        <v>51110</v>
      </c>
      <c r="J698" s="156">
        <f>I698*100/H698</f>
        <v>98.28846153846153</v>
      </c>
      <c r="K698" s="240">
        <f>K700</f>
        <v>50000</v>
      </c>
      <c r="L698" s="108">
        <f>L700</f>
        <v>35411</v>
      </c>
      <c r="M698" s="108">
        <f>M700</f>
        <v>70.822</v>
      </c>
    </row>
    <row r="699" spans="1:13" s="45" customFormat="1" ht="53.25" customHeight="1">
      <c r="A699" s="33"/>
      <c r="B699" s="33"/>
      <c r="C699" s="19">
        <v>2360</v>
      </c>
      <c r="D699" s="21" t="s">
        <v>183</v>
      </c>
      <c r="E699" s="241">
        <v>52000</v>
      </c>
      <c r="F699" s="64">
        <v>51110</v>
      </c>
      <c r="G699" s="162">
        <f t="shared" si="141"/>
        <v>98.28846153846153</v>
      </c>
      <c r="H699" s="264">
        <f>E699</f>
        <v>52000</v>
      </c>
      <c r="I699" s="192">
        <f>F699</f>
        <v>51110</v>
      </c>
      <c r="J699" s="162">
        <f>I699*100/H699</f>
        <v>98.28846153846153</v>
      </c>
      <c r="K699" s="65"/>
      <c r="L699" s="64"/>
      <c r="M699" s="168"/>
    </row>
    <row r="700" spans="1:13" s="45" customFormat="1" ht="24.75" customHeight="1">
      <c r="A700" s="36"/>
      <c r="B700" s="36"/>
      <c r="C700" s="36">
        <v>6060</v>
      </c>
      <c r="D700" s="526" t="s">
        <v>117</v>
      </c>
      <c r="E700" s="244">
        <v>50000</v>
      </c>
      <c r="F700" s="188">
        <v>35411</v>
      </c>
      <c r="G700" s="160">
        <f t="shared" si="141"/>
        <v>70.822</v>
      </c>
      <c r="H700" s="527"/>
      <c r="I700" s="527"/>
      <c r="J700" s="527"/>
      <c r="K700" s="266">
        <f>E700</f>
        <v>50000</v>
      </c>
      <c r="L700" s="190">
        <f>F700</f>
        <v>35411</v>
      </c>
      <c r="M700" s="160">
        <f>L700*100/K700</f>
        <v>70.822</v>
      </c>
    </row>
    <row r="701" spans="1:13" s="45" customFormat="1" ht="30.75" customHeight="1">
      <c r="A701" s="66">
        <v>925</v>
      </c>
      <c r="B701" s="66"/>
      <c r="C701" s="66"/>
      <c r="D701" s="67" t="e">
        <f>#REF!</f>
        <v>#REF!</v>
      </c>
      <c r="E701" s="287">
        <f aca="true" t="shared" si="149" ref="E701:J702">E702</f>
        <v>10000</v>
      </c>
      <c r="F701" s="288">
        <f t="shared" si="149"/>
        <v>9960</v>
      </c>
      <c r="G701" s="288">
        <f t="shared" si="149"/>
        <v>99.6</v>
      </c>
      <c r="H701" s="287">
        <f t="shared" si="149"/>
        <v>10000</v>
      </c>
      <c r="I701" s="288">
        <f t="shared" si="149"/>
        <v>9960</v>
      </c>
      <c r="J701" s="288">
        <f t="shared" si="149"/>
        <v>99.6</v>
      </c>
      <c r="K701" s="68"/>
      <c r="L701" s="69"/>
      <c r="M701" s="154"/>
    </row>
    <row r="702" spans="1:13" s="45" customFormat="1" ht="16.5" customHeight="1">
      <c r="A702" s="105"/>
      <c r="B702" s="105">
        <v>92503</v>
      </c>
      <c r="C702" s="105"/>
      <c r="D702" s="107" t="s">
        <v>282</v>
      </c>
      <c r="E702" s="240">
        <f t="shared" si="149"/>
        <v>10000</v>
      </c>
      <c r="F702" s="108">
        <f t="shared" si="149"/>
        <v>9960</v>
      </c>
      <c r="G702" s="108">
        <f t="shared" si="149"/>
        <v>99.6</v>
      </c>
      <c r="H702" s="108">
        <f t="shared" si="149"/>
        <v>10000</v>
      </c>
      <c r="I702" s="108">
        <f t="shared" si="149"/>
        <v>9960</v>
      </c>
      <c r="J702" s="240">
        <f t="shared" si="149"/>
        <v>99.6</v>
      </c>
      <c r="K702" s="240"/>
      <c r="L702" s="108"/>
      <c r="M702" s="108"/>
    </row>
    <row r="703" spans="1:13" s="45" customFormat="1" ht="14.25" customHeight="1">
      <c r="A703" s="70"/>
      <c r="B703" s="70"/>
      <c r="C703" s="39">
        <v>4300</v>
      </c>
      <c r="D703" s="21" t="s">
        <v>39</v>
      </c>
      <c r="E703" s="61">
        <v>10000</v>
      </c>
      <c r="F703" s="314">
        <v>9960</v>
      </c>
      <c r="G703" s="177">
        <f>F703*100/E703</f>
        <v>99.6</v>
      </c>
      <c r="H703" s="61">
        <f>E703</f>
        <v>10000</v>
      </c>
      <c r="I703" s="61">
        <f>F703</f>
        <v>9960</v>
      </c>
      <c r="J703" s="61">
        <f>G703</f>
        <v>99.6</v>
      </c>
      <c r="K703" s="61"/>
      <c r="L703" s="314"/>
      <c r="M703" s="177"/>
    </row>
    <row r="704" spans="1:13" s="16" customFormat="1" ht="15" customHeight="1">
      <c r="A704" s="66">
        <v>926</v>
      </c>
      <c r="B704" s="66"/>
      <c r="C704" s="66"/>
      <c r="D704" s="67" t="s">
        <v>79</v>
      </c>
      <c r="E704" s="287">
        <f>E705</f>
        <v>7180908</v>
      </c>
      <c r="F704" s="288">
        <f>F705</f>
        <v>7166995.05</v>
      </c>
      <c r="G704" s="154">
        <f t="shared" si="141"/>
        <v>99.80625082510457</v>
      </c>
      <c r="H704" s="68">
        <f>H705</f>
        <v>6587008</v>
      </c>
      <c r="I704" s="69">
        <f>I705</f>
        <v>6574187.05</v>
      </c>
      <c r="J704" s="154">
        <f>I704*100/H704</f>
        <v>99.80536003599813</v>
      </c>
      <c r="K704" s="68">
        <f>K705</f>
        <v>593900</v>
      </c>
      <c r="L704" s="69">
        <f>L705</f>
        <v>592808</v>
      </c>
      <c r="M704" s="154">
        <f>L704*100/K704</f>
        <v>99.81613066172757</v>
      </c>
    </row>
    <row r="705" spans="1:13" s="16" customFormat="1" ht="17.25" customHeight="1">
      <c r="A705" s="105"/>
      <c r="B705" s="105">
        <v>92605</v>
      </c>
      <c r="C705" s="105"/>
      <c r="D705" s="107" t="s">
        <v>80</v>
      </c>
      <c r="E705" s="240">
        <f>SUM(E706:E731)</f>
        <v>7180908</v>
      </c>
      <c r="F705" s="108">
        <f>SUM(F706:F731)</f>
        <v>7166995.05</v>
      </c>
      <c r="G705" s="156">
        <f t="shared" si="141"/>
        <v>99.80625082510457</v>
      </c>
      <c r="H705" s="240">
        <f>SUM(H706:H731)</f>
        <v>6587008</v>
      </c>
      <c r="I705" s="108">
        <f>SUM(I706:I731)</f>
        <v>6574187.05</v>
      </c>
      <c r="J705" s="156">
        <f>I705*100/H705</f>
        <v>99.80536003599813</v>
      </c>
      <c r="K705" s="240">
        <f>SUM(K706:K731)</f>
        <v>593900</v>
      </c>
      <c r="L705" s="108">
        <f>SUM(L706:L731)</f>
        <v>592808</v>
      </c>
      <c r="M705" s="108">
        <f>L705*100/K705</f>
        <v>99.81613066172757</v>
      </c>
    </row>
    <row r="706" spans="1:13" s="16" customFormat="1" ht="53.25" customHeight="1">
      <c r="A706" s="354"/>
      <c r="B706" s="354"/>
      <c r="C706" s="38">
        <v>2360</v>
      </c>
      <c r="D706" s="32" t="s">
        <v>183</v>
      </c>
      <c r="E706" s="57">
        <v>402765</v>
      </c>
      <c r="F706" s="58">
        <v>401210</v>
      </c>
      <c r="G706" s="168">
        <f t="shared" si="141"/>
        <v>99.61391878638909</v>
      </c>
      <c r="H706" s="57">
        <f>E706</f>
        <v>402765</v>
      </c>
      <c r="I706" s="58">
        <f>F706</f>
        <v>401210</v>
      </c>
      <c r="J706" s="168">
        <f>I706*100/H706</f>
        <v>99.61391878638909</v>
      </c>
      <c r="K706" s="57"/>
      <c r="L706" s="58"/>
      <c r="M706" s="168"/>
    </row>
    <row r="707" spans="1:13" s="16" customFormat="1" ht="11.25">
      <c r="A707" s="36"/>
      <c r="B707" s="36"/>
      <c r="C707" s="31">
        <v>3020</v>
      </c>
      <c r="D707" s="32" t="s">
        <v>108</v>
      </c>
      <c r="E707" s="57">
        <v>7050</v>
      </c>
      <c r="F707" s="64">
        <v>7034.88</v>
      </c>
      <c r="G707" s="161">
        <f t="shared" si="141"/>
        <v>99.78553191489361</v>
      </c>
      <c r="H707" s="57">
        <f aca="true" t="shared" si="150" ref="H707:H729">E707</f>
        <v>7050</v>
      </c>
      <c r="I707" s="58">
        <f aca="true" t="shared" si="151" ref="I707:I729">F707</f>
        <v>7034.88</v>
      </c>
      <c r="J707" s="168">
        <f aca="true" t="shared" si="152" ref="J707:J729">I707*100/H707</f>
        <v>99.78553191489361</v>
      </c>
      <c r="K707" s="65"/>
      <c r="L707" s="64"/>
      <c r="M707" s="168"/>
    </row>
    <row r="708" spans="1:13" s="16" customFormat="1" ht="11.25">
      <c r="A708" s="36"/>
      <c r="B708" s="36"/>
      <c r="C708" s="31">
        <v>3240</v>
      </c>
      <c r="D708" s="32" t="s">
        <v>222</v>
      </c>
      <c r="E708" s="57">
        <v>29400</v>
      </c>
      <c r="F708" s="64">
        <v>29400</v>
      </c>
      <c r="G708" s="161">
        <f t="shared" si="141"/>
        <v>100</v>
      </c>
      <c r="H708" s="57">
        <f>E708</f>
        <v>29400</v>
      </c>
      <c r="I708" s="58">
        <f t="shared" si="151"/>
        <v>29400</v>
      </c>
      <c r="J708" s="168">
        <f t="shared" si="152"/>
        <v>100</v>
      </c>
      <c r="K708" s="65"/>
      <c r="L708" s="64"/>
      <c r="M708" s="168"/>
    </row>
    <row r="709" spans="1:13" s="16" customFormat="1" ht="11.25">
      <c r="A709" s="36"/>
      <c r="B709" s="36"/>
      <c r="C709" s="31">
        <v>4010</v>
      </c>
      <c r="D709" s="32" t="s">
        <v>41</v>
      </c>
      <c r="E709" s="57">
        <v>1195800</v>
      </c>
      <c r="F709" s="64">
        <v>1191900.89</v>
      </c>
      <c r="G709" s="161">
        <f t="shared" si="141"/>
        <v>99.6739329319284</v>
      </c>
      <c r="H709" s="57">
        <f t="shared" si="150"/>
        <v>1195800</v>
      </c>
      <c r="I709" s="58">
        <f t="shared" si="151"/>
        <v>1191900.89</v>
      </c>
      <c r="J709" s="168">
        <f t="shared" si="152"/>
        <v>99.6739329319284</v>
      </c>
      <c r="K709" s="65"/>
      <c r="L709" s="64"/>
      <c r="M709" s="168"/>
    </row>
    <row r="710" spans="1:13" s="16" customFormat="1" ht="11.25">
      <c r="A710" s="36"/>
      <c r="B710" s="36"/>
      <c r="C710" s="31">
        <v>4040</v>
      </c>
      <c r="D710" s="32" t="s">
        <v>110</v>
      </c>
      <c r="E710" s="57">
        <v>80600</v>
      </c>
      <c r="F710" s="64">
        <v>80547.99</v>
      </c>
      <c r="G710" s="161">
        <f t="shared" si="141"/>
        <v>99.93547146401987</v>
      </c>
      <c r="H710" s="57">
        <f t="shared" si="150"/>
        <v>80600</v>
      </c>
      <c r="I710" s="58">
        <f t="shared" si="151"/>
        <v>80547.99</v>
      </c>
      <c r="J710" s="168">
        <f t="shared" si="152"/>
        <v>99.93547146401987</v>
      </c>
      <c r="K710" s="65"/>
      <c r="L710" s="64"/>
      <c r="M710" s="168"/>
    </row>
    <row r="711" spans="1:13" s="16" customFormat="1" ht="11.25">
      <c r="A711" s="36"/>
      <c r="B711" s="36"/>
      <c r="C711" s="31">
        <v>4110</v>
      </c>
      <c r="D711" s="32" t="s">
        <v>104</v>
      </c>
      <c r="E711" s="57">
        <v>248000</v>
      </c>
      <c r="F711" s="64">
        <v>246306.51</v>
      </c>
      <c r="G711" s="161">
        <f t="shared" si="141"/>
        <v>99.31714112903225</v>
      </c>
      <c r="H711" s="57">
        <f t="shared" si="150"/>
        <v>248000</v>
      </c>
      <c r="I711" s="58">
        <f t="shared" si="151"/>
        <v>246306.51</v>
      </c>
      <c r="J711" s="168">
        <f t="shared" si="152"/>
        <v>99.31714112903225</v>
      </c>
      <c r="K711" s="65"/>
      <c r="L711" s="64"/>
      <c r="M711" s="168"/>
    </row>
    <row r="712" spans="1:13" s="17" customFormat="1" ht="11.25">
      <c r="A712" s="36"/>
      <c r="B712" s="36"/>
      <c r="C712" s="31">
        <v>4120</v>
      </c>
      <c r="D712" s="32" t="s">
        <v>34</v>
      </c>
      <c r="E712" s="57">
        <v>27600</v>
      </c>
      <c r="F712" s="64">
        <v>26611.06</v>
      </c>
      <c r="G712" s="161">
        <f t="shared" si="141"/>
        <v>96.41688405797102</v>
      </c>
      <c r="H712" s="57">
        <f t="shared" si="150"/>
        <v>27600</v>
      </c>
      <c r="I712" s="58">
        <f t="shared" si="151"/>
        <v>26611.06</v>
      </c>
      <c r="J712" s="168">
        <f t="shared" si="152"/>
        <v>96.41688405797102</v>
      </c>
      <c r="K712" s="65"/>
      <c r="L712" s="64"/>
      <c r="M712" s="168"/>
    </row>
    <row r="713" spans="1:13" s="17" customFormat="1" ht="11.25">
      <c r="A713" s="36"/>
      <c r="B713" s="36"/>
      <c r="C713" s="31">
        <v>4170</v>
      </c>
      <c r="D713" s="32" t="s">
        <v>114</v>
      </c>
      <c r="E713" s="57">
        <v>484000</v>
      </c>
      <c r="F713" s="64">
        <v>480559.25</v>
      </c>
      <c r="G713" s="161">
        <f t="shared" si="141"/>
        <v>99.28910123966942</v>
      </c>
      <c r="H713" s="57">
        <f t="shared" si="150"/>
        <v>484000</v>
      </c>
      <c r="I713" s="58">
        <f t="shared" si="151"/>
        <v>480559.25</v>
      </c>
      <c r="J713" s="168">
        <f t="shared" si="152"/>
        <v>99.28910123966942</v>
      </c>
      <c r="K713" s="65"/>
      <c r="L713" s="64"/>
      <c r="M713" s="168"/>
    </row>
    <row r="714" spans="1:13" s="17" customFormat="1" ht="11.25">
      <c r="A714" s="36"/>
      <c r="B714" s="36"/>
      <c r="C714" s="31">
        <v>4190</v>
      </c>
      <c r="D714" s="32" t="s">
        <v>215</v>
      </c>
      <c r="E714" s="57">
        <v>146170</v>
      </c>
      <c r="F714" s="64">
        <v>146168.31</v>
      </c>
      <c r="G714" s="161">
        <f t="shared" si="141"/>
        <v>99.99884381199972</v>
      </c>
      <c r="H714" s="57">
        <f t="shared" si="150"/>
        <v>146170</v>
      </c>
      <c r="I714" s="58">
        <f t="shared" si="151"/>
        <v>146168.31</v>
      </c>
      <c r="J714" s="168">
        <f t="shared" si="152"/>
        <v>99.99884381199972</v>
      </c>
      <c r="K714" s="65"/>
      <c r="L714" s="64"/>
      <c r="M714" s="168"/>
    </row>
    <row r="715" spans="1:13" s="17" customFormat="1" ht="11.25">
      <c r="A715" s="36"/>
      <c r="B715" s="36"/>
      <c r="C715" s="31">
        <v>4210</v>
      </c>
      <c r="D715" s="32" t="s">
        <v>35</v>
      </c>
      <c r="E715" s="57">
        <v>1027400</v>
      </c>
      <c r="F715" s="64">
        <v>1027352.4</v>
      </c>
      <c r="G715" s="161">
        <f t="shared" si="141"/>
        <v>99.99536694568815</v>
      </c>
      <c r="H715" s="57">
        <f t="shared" si="150"/>
        <v>1027400</v>
      </c>
      <c r="I715" s="58">
        <f t="shared" si="151"/>
        <v>1027352.4</v>
      </c>
      <c r="J715" s="168">
        <f t="shared" si="152"/>
        <v>99.99536694568815</v>
      </c>
      <c r="K715" s="65"/>
      <c r="L715" s="64"/>
      <c r="M715" s="168"/>
    </row>
    <row r="716" spans="1:13" s="17" customFormat="1" ht="11.25">
      <c r="A716" s="36"/>
      <c r="B716" s="36"/>
      <c r="C716" s="31">
        <v>4220</v>
      </c>
      <c r="D716" s="32" t="s">
        <v>228</v>
      </c>
      <c r="E716" s="57">
        <v>12870</v>
      </c>
      <c r="F716" s="64">
        <v>12867.81</v>
      </c>
      <c r="G716" s="161">
        <f t="shared" si="141"/>
        <v>99.98298368298369</v>
      </c>
      <c r="H716" s="57">
        <f t="shared" si="150"/>
        <v>12870</v>
      </c>
      <c r="I716" s="58">
        <f t="shared" si="151"/>
        <v>12867.81</v>
      </c>
      <c r="J716" s="168">
        <f t="shared" si="152"/>
        <v>99.98298368298369</v>
      </c>
      <c r="K716" s="65"/>
      <c r="L716" s="64"/>
      <c r="M716" s="168"/>
    </row>
    <row r="717" spans="1:13" s="17" customFormat="1" ht="11.25">
      <c r="A717" s="36"/>
      <c r="B717" s="36"/>
      <c r="C717" s="31">
        <v>4260</v>
      </c>
      <c r="D717" s="32" t="s">
        <v>61</v>
      </c>
      <c r="E717" s="57">
        <v>103240</v>
      </c>
      <c r="F717" s="64">
        <v>103231.72</v>
      </c>
      <c r="G717" s="161">
        <f t="shared" si="141"/>
        <v>99.99197985277024</v>
      </c>
      <c r="H717" s="57">
        <f t="shared" si="150"/>
        <v>103240</v>
      </c>
      <c r="I717" s="58">
        <f t="shared" si="151"/>
        <v>103231.72</v>
      </c>
      <c r="J717" s="168">
        <f t="shared" si="152"/>
        <v>99.99197985277024</v>
      </c>
      <c r="K717" s="65"/>
      <c r="L717" s="64"/>
      <c r="M717" s="168"/>
    </row>
    <row r="718" spans="1:13" s="17" customFormat="1" ht="11.25">
      <c r="A718" s="36"/>
      <c r="B718" s="36"/>
      <c r="C718" s="31">
        <v>4270</v>
      </c>
      <c r="D718" s="32" t="s">
        <v>65</v>
      </c>
      <c r="E718" s="57">
        <v>400700</v>
      </c>
      <c r="F718" s="64">
        <v>400663.47</v>
      </c>
      <c r="G718" s="161">
        <f t="shared" si="141"/>
        <v>99.99088345395558</v>
      </c>
      <c r="H718" s="57">
        <f t="shared" si="150"/>
        <v>400700</v>
      </c>
      <c r="I718" s="58">
        <f t="shared" si="151"/>
        <v>400663.47</v>
      </c>
      <c r="J718" s="168">
        <f t="shared" si="152"/>
        <v>99.99088345395558</v>
      </c>
      <c r="K718" s="65"/>
      <c r="L718" s="64"/>
      <c r="M718" s="168"/>
    </row>
    <row r="719" spans="1:13" s="17" customFormat="1" ht="11.25">
      <c r="A719" s="46"/>
      <c r="B719" s="46"/>
      <c r="C719" s="41">
        <v>4280</v>
      </c>
      <c r="D719" s="42" t="s">
        <v>51</v>
      </c>
      <c r="E719" s="59">
        <v>2220</v>
      </c>
      <c r="F719" s="188">
        <v>2215.25</v>
      </c>
      <c r="G719" s="160">
        <f t="shared" si="141"/>
        <v>99.78603603603604</v>
      </c>
      <c r="H719" s="59">
        <f t="shared" si="150"/>
        <v>2220</v>
      </c>
      <c r="I719" s="60">
        <f t="shared" si="151"/>
        <v>2215.25</v>
      </c>
      <c r="J719" s="176">
        <f t="shared" si="152"/>
        <v>99.78603603603604</v>
      </c>
      <c r="K719" s="260"/>
      <c r="L719" s="188"/>
      <c r="M719" s="176"/>
    </row>
    <row r="720" spans="1:13" s="17" customFormat="1" ht="11.25">
      <c r="A720" s="36"/>
      <c r="B720" s="36"/>
      <c r="C720" s="19">
        <v>4300</v>
      </c>
      <c r="D720" s="21" t="s">
        <v>39</v>
      </c>
      <c r="E720" s="61">
        <v>2183420</v>
      </c>
      <c r="F720" s="72">
        <v>2183322.52</v>
      </c>
      <c r="G720" s="162">
        <f t="shared" si="141"/>
        <v>99.99553544439458</v>
      </c>
      <c r="H720" s="61">
        <f t="shared" si="150"/>
        <v>2183420</v>
      </c>
      <c r="I720" s="314">
        <f t="shared" si="151"/>
        <v>2183322.52</v>
      </c>
      <c r="J720" s="177">
        <f t="shared" si="152"/>
        <v>99.99553544439458</v>
      </c>
      <c r="K720" s="71"/>
      <c r="L720" s="72"/>
      <c r="M720" s="177"/>
    </row>
    <row r="721" spans="1:13" s="17" customFormat="1" ht="14.25" customHeight="1">
      <c r="A721" s="36"/>
      <c r="B721" s="36"/>
      <c r="C721" s="31">
        <v>4360</v>
      </c>
      <c r="D721" s="32" t="s">
        <v>209</v>
      </c>
      <c r="E721" s="57">
        <v>13900</v>
      </c>
      <c r="F721" s="64">
        <v>13893.1</v>
      </c>
      <c r="G721" s="161">
        <f t="shared" si="141"/>
        <v>99.95035971223021</v>
      </c>
      <c r="H721" s="57">
        <f t="shared" si="150"/>
        <v>13900</v>
      </c>
      <c r="I721" s="58">
        <f t="shared" si="151"/>
        <v>13893.1</v>
      </c>
      <c r="J721" s="168">
        <f t="shared" si="152"/>
        <v>99.95035971223021</v>
      </c>
      <c r="K721" s="65"/>
      <c r="L721" s="64"/>
      <c r="M721" s="168"/>
    </row>
    <row r="722" spans="1:13" s="17" customFormat="1" ht="21">
      <c r="A722" s="36"/>
      <c r="B722" s="36"/>
      <c r="C722" s="31">
        <v>4400</v>
      </c>
      <c r="D722" s="32" t="s">
        <v>141</v>
      </c>
      <c r="E722" s="57">
        <v>91720</v>
      </c>
      <c r="F722" s="64">
        <v>91719</v>
      </c>
      <c r="G722" s="161">
        <f t="shared" si="141"/>
        <v>99.99890972525077</v>
      </c>
      <c r="H722" s="57">
        <f t="shared" si="150"/>
        <v>91720</v>
      </c>
      <c r="I722" s="58">
        <f t="shared" si="151"/>
        <v>91719</v>
      </c>
      <c r="J722" s="168">
        <f t="shared" si="152"/>
        <v>99.99890972525077</v>
      </c>
      <c r="K722" s="65"/>
      <c r="L722" s="64"/>
      <c r="M722" s="168"/>
    </row>
    <row r="723" spans="1:13" s="17" customFormat="1" ht="11.25">
      <c r="A723" s="36"/>
      <c r="B723" s="36"/>
      <c r="C723" s="31">
        <v>4410</v>
      </c>
      <c r="D723" s="32" t="s">
        <v>49</v>
      </c>
      <c r="E723" s="57">
        <v>18700</v>
      </c>
      <c r="F723" s="64">
        <v>18684.12</v>
      </c>
      <c r="G723" s="161">
        <f t="shared" si="141"/>
        <v>99.91508021390375</v>
      </c>
      <c r="H723" s="57">
        <f t="shared" si="150"/>
        <v>18700</v>
      </c>
      <c r="I723" s="58">
        <f t="shared" si="151"/>
        <v>18684.12</v>
      </c>
      <c r="J723" s="168">
        <f t="shared" si="152"/>
        <v>99.91508021390375</v>
      </c>
      <c r="K723" s="65"/>
      <c r="L723" s="64"/>
      <c r="M723" s="168"/>
    </row>
    <row r="724" spans="1:13" s="17" customFormat="1" ht="11.25">
      <c r="A724" s="36"/>
      <c r="B724" s="36"/>
      <c r="C724" s="31">
        <v>4430</v>
      </c>
      <c r="D724" s="32" t="s">
        <v>115</v>
      </c>
      <c r="E724" s="57">
        <v>16653</v>
      </c>
      <c r="F724" s="64">
        <v>16617.85</v>
      </c>
      <c r="G724" s="161">
        <f t="shared" si="141"/>
        <v>99.78892692007445</v>
      </c>
      <c r="H724" s="57">
        <f t="shared" si="150"/>
        <v>16653</v>
      </c>
      <c r="I724" s="58">
        <f t="shared" si="151"/>
        <v>16617.85</v>
      </c>
      <c r="J724" s="168">
        <f t="shared" si="152"/>
        <v>99.78892692007445</v>
      </c>
      <c r="K724" s="65"/>
      <c r="L724" s="64"/>
      <c r="M724" s="168"/>
    </row>
    <row r="725" spans="1:13" s="17" customFormat="1" ht="12" customHeight="1">
      <c r="A725" s="36"/>
      <c r="B725" s="36"/>
      <c r="C725" s="19">
        <v>4440</v>
      </c>
      <c r="D725" s="21" t="s">
        <v>63</v>
      </c>
      <c r="E725" s="61">
        <v>26900</v>
      </c>
      <c r="F725" s="72">
        <v>26850</v>
      </c>
      <c r="G725" s="162">
        <f t="shared" si="141"/>
        <v>99.81412639405204</v>
      </c>
      <c r="H725" s="61">
        <f t="shared" si="150"/>
        <v>26900</v>
      </c>
      <c r="I725" s="314">
        <f t="shared" si="151"/>
        <v>26850</v>
      </c>
      <c r="J725" s="177">
        <f t="shared" si="152"/>
        <v>99.81412639405204</v>
      </c>
      <c r="K725" s="71"/>
      <c r="L725" s="72"/>
      <c r="M725" s="177"/>
    </row>
    <row r="726" spans="1:13" s="17" customFormat="1" ht="11.25">
      <c r="A726" s="36"/>
      <c r="B726" s="36"/>
      <c r="C726" s="31">
        <v>4480</v>
      </c>
      <c r="D726" s="32" t="s">
        <v>198</v>
      </c>
      <c r="E726" s="57">
        <v>400</v>
      </c>
      <c r="F726" s="64">
        <v>390.32</v>
      </c>
      <c r="G726" s="161">
        <f t="shared" si="141"/>
        <v>97.58</v>
      </c>
      <c r="H726" s="57">
        <f t="shared" si="150"/>
        <v>400</v>
      </c>
      <c r="I726" s="58">
        <f t="shared" si="151"/>
        <v>390.32</v>
      </c>
      <c r="J726" s="168">
        <f t="shared" si="152"/>
        <v>97.58</v>
      </c>
      <c r="K726" s="65"/>
      <c r="L726" s="64"/>
      <c r="M726" s="168"/>
    </row>
    <row r="727" spans="1:13" s="17" customFormat="1" ht="21">
      <c r="A727" s="36"/>
      <c r="B727" s="36"/>
      <c r="C727" s="31">
        <v>4520</v>
      </c>
      <c r="D727" s="32" t="s">
        <v>201</v>
      </c>
      <c r="E727" s="57">
        <v>49000</v>
      </c>
      <c r="F727" s="64">
        <v>48955</v>
      </c>
      <c r="G727" s="161">
        <f t="shared" si="141"/>
        <v>99.90816326530613</v>
      </c>
      <c r="H727" s="57">
        <f t="shared" si="150"/>
        <v>49000</v>
      </c>
      <c r="I727" s="58">
        <f t="shared" si="151"/>
        <v>48955</v>
      </c>
      <c r="J727" s="168">
        <f t="shared" si="152"/>
        <v>99.90816326530613</v>
      </c>
      <c r="K727" s="65"/>
      <c r="L727" s="64"/>
      <c r="M727" s="168"/>
    </row>
    <row r="728" spans="1:13" s="17" customFormat="1" ht="11.25">
      <c r="A728" s="36"/>
      <c r="B728" s="36"/>
      <c r="C728" s="31">
        <v>4530</v>
      </c>
      <c r="D728" s="32" t="s">
        <v>202</v>
      </c>
      <c r="E728" s="57">
        <v>2500</v>
      </c>
      <c r="F728" s="64">
        <v>1695.68</v>
      </c>
      <c r="G728" s="161">
        <f t="shared" si="141"/>
        <v>67.8272</v>
      </c>
      <c r="H728" s="57">
        <f t="shared" si="150"/>
        <v>2500</v>
      </c>
      <c r="I728" s="58">
        <f t="shared" si="151"/>
        <v>1695.68</v>
      </c>
      <c r="J728" s="168">
        <f t="shared" si="152"/>
        <v>67.8272</v>
      </c>
      <c r="K728" s="65"/>
      <c r="L728" s="64"/>
      <c r="M728" s="168"/>
    </row>
    <row r="729" spans="1:13" s="16" customFormat="1" ht="21">
      <c r="A729" s="36"/>
      <c r="B729" s="36"/>
      <c r="C729" s="31">
        <v>4700</v>
      </c>
      <c r="D729" s="32" t="s">
        <v>140</v>
      </c>
      <c r="E729" s="57">
        <v>16000</v>
      </c>
      <c r="F729" s="64">
        <v>15989.92</v>
      </c>
      <c r="G729" s="161">
        <f t="shared" si="141"/>
        <v>99.937</v>
      </c>
      <c r="H729" s="57">
        <f t="shared" si="150"/>
        <v>16000</v>
      </c>
      <c r="I729" s="58">
        <f t="shared" si="151"/>
        <v>15989.92</v>
      </c>
      <c r="J729" s="168">
        <f t="shared" si="152"/>
        <v>99.937</v>
      </c>
      <c r="K729" s="65"/>
      <c r="L729" s="64"/>
      <c r="M729" s="168"/>
    </row>
    <row r="730" spans="1:13" s="17" customFormat="1" ht="11.25">
      <c r="A730" s="36"/>
      <c r="B730" s="36"/>
      <c r="C730" s="33">
        <v>6050</v>
      </c>
      <c r="D730" s="34" t="s">
        <v>64</v>
      </c>
      <c r="E730" s="57">
        <v>479700</v>
      </c>
      <c r="F730" s="189">
        <v>479700</v>
      </c>
      <c r="G730" s="164">
        <f t="shared" si="141"/>
        <v>100</v>
      </c>
      <c r="H730" s="263"/>
      <c r="I730" s="194"/>
      <c r="J730" s="164"/>
      <c r="K730" s="261">
        <f>E730</f>
        <v>479700</v>
      </c>
      <c r="L730" s="189">
        <f>F730</f>
        <v>479700</v>
      </c>
      <c r="M730" s="178">
        <f>L730*100/K730</f>
        <v>100</v>
      </c>
    </row>
    <row r="731" spans="1:13" ht="21.75" thickBot="1">
      <c r="A731" s="46"/>
      <c r="B731" s="46"/>
      <c r="C731" s="41">
        <v>6060</v>
      </c>
      <c r="D731" s="42" t="s">
        <v>117</v>
      </c>
      <c r="E731" s="57">
        <v>114200</v>
      </c>
      <c r="F731" s="188">
        <v>113108</v>
      </c>
      <c r="G731" s="160">
        <f t="shared" si="141"/>
        <v>99.04378283712785</v>
      </c>
      <c r="H731" s="59"/>
      <c r="I731" s="60"/>
      <c r="J731" s="176"/>
      <c r="K731" s="260">
        <f>E731</f>
        <v>114200</v>
      </c>
      <c r="L731" s="188">
        <f>F731</f>
        <v>113108</v>
      </c>
      <c r="M731" s="160">
        <f>L731*100/K731</f>
        <v>99.04378283712785</v>
      </c>
    </row>
    <row r="732" spans="1:13" ht="13.5" thickBot="1">
      <c r="A732" s="126"/>
      <c r="B732" s="127"/>
      <c r="C732" s="127"/>
      <c r="D732" s="128" t="s">
        <v>81</v>
      </c>
      <c r="E732" s="376">
        <f>E12+E23+E46+E52+E70+E78+E173+E184+E210+E214+E219+E466+E489+E546+E635+E690+E704+E26+E573+E539+E701</f>
        <v>218705780</v>
      </c>
      <c r="F732" s="204">
        <f>F12+F23+F46+F52+F70+F78+F173+F184+F210+F214+F219+F466+F489+F546+F635+F690+F704+F26+F573+F539+F701</f>
        <v>211467925.37</v>
      </c>
      <c r="G732" s="204">
        <f>F732*100/E732</f>
        <v>96.69059746386218</v>
      </c>
      <c r="H732" s="376">
        <f>H12+H23+H46+H52+H70+H78+H173+H184+H210+H214+H219+H466+H489+H546+H635+H690+H704+H26+H573+H701+H539</f>
        <v>196693970</v>
      </c>
      <c r="I732" s="204">
        <f>I12+I23+I46+I52+I70+I78+I173+I184+I210+I214+I219+I466+I489+I546+I635+I690+I704+I26+I573+I701+I539</f>
        <v>190826379.59000006</v>
      </c>
      <c r="J732" s="204">
        <f>I732*100/H732</f>
        <v>97.01689359872094</v>
      </c>
      <c r="K732" s="376">
        <f>K12+K23+K46+K52+K70+K78+K173+K184+K210+K214+K219+K466+K489+K546+K635+K690+K704+K26+K573</f>
        <v>22011810</v>
      </c>
      <c r="L732" s="204">
        <f>L12+L23+L46+L52+L70+L78+L173+L184+L210+L214+L219+L466+L489+L546+L635+L690+L704+L26+L573</f>
        <v>20641545.78</v>
      </c>
      <c r="M732" s="204">
        <f>L732*100/K732</f>
        <v>93.77486803674937</v>
      </c>
    </row>
    <row r="733" spans="1:13" ht="12.75">
      <c r="A733" s="122"/>
      <c r="B733" s="122"/>
      <c r="C733" s="122"/>
      <c r="D733" s="123"/>
      <c r="E733" s="253"/>
      <c r="F733" s="213"/>
      <c r="G733" s="169"/>
      <c r="H733" s="253"/>
      <c r="I733" s="253"/>
      <c r="J733" s="253"/>
      <c r="K733" s="253"/>
      <c r="L733" s="213"/>
      <c r="M733" s="169"/>
    </row>
    <row r="734" spans="1:13" ht="12.75">
      <c r="A734" s="98"/>
      <c r="B734" s="98"/>
      <c r="C734" s="98"/>
      <c r="D734" s="24"/>
      <c r="E734" s="222"/>
      <c r="F734" s="92"/>
      <c r="G734" s="151"/>
      <c r="H734" s="222"/>
      <c r="I734" s="92"/>
      <c r="J734" s="846"/>
      <c r="K734" s="846"/>
      <c r="L734" s="844"/>
      <c r="M734" s="845"/>
    </row>
    <row r="735" spans="1:13" ht="12.75">
      <c r="A735" s="98"/>
      <c r="B735" s="98"/>
      <c r="C735" s="98"/>
      <c r="D735" s="24"/>
      <c r="E735" s="222"/>
      <c r="F735" s="92"/>
      <c r="G735" s="151"/>
      <c r="H735" s="222"/>
      <c r="I735" s="92"/>
      <c r="J735" s="151"/>
      <c r="K735" s="253"/>
      <c r="L735" s="844"/>
      <c r="M735" s="845"/>
    </row>
    <row r="736" ht="12.75">
      <c r="H736" s="14"/>
    </row>
    <row r="740" spans="1:13" ht="12.75">
      <c r="A740" s="6"/>
      <c r="B740" s="6"/>
      <c r="C740" s="6"/>
      <c r="D740" s="6"/>
      <c r="E740" s="7"/>
      <c r="F740" s="205"/>
      <c r="G740" s="171"/>
      <c r="H740" s="7"/>
      <c r="I740" s="205"/>
      <c r="J740" s="171"/>
      <c r="K740" s="7"/>
      <c r="L740" s="205"/>
      <c r="M740" s="171"/>
    </row>
    <row r="741" spans="1:13" ht="12.75">
      <c r="A741" s="6"/>
      <c r="B741" s="11"/>
      <c r="C741" s="11"/>
      <c r="D741" s="12"/>
      <c r="E741" s="254"/>
      <c r="F741" s="206"/>
      <c r="G741" s="172"/>
      <c r="H741" s="254"/>
      <c r="I741" s="206"/>
      <c r="J741" s="172"/>
      <c r="K741" s="254"/>
      <c r="L741" s="206"/>
      <c r="M741" s="180"/>
    </row>
    <row r="742" spans="1:13" ht="12.75">
      <c r="A742" s="6"/>
      <c r="B742" s="8"/>
      <c r="C742" s="8"/>
      <c r="D742" s="9"/>
      <c r="E742" s="255"/>
      <c r="F742" s="207"/>
      <c r="G742" s="173"/>
      <c r="H742" s="255"/>
      <c r="I742" s="207"/>
      <c r="J742" s="173"/>
      <c r="K742" s="255"/>
      <c r="L742" s="207"/>
      <c r="M742" s="181"/>
    </row>
    <row r="743" spans="1:13" ht="12.75">
      <c r="A743" s="6"/>
      <c r="B743" s="10"/>
      <c r="C743" s="10"/>
      <c r="D743" s="9"/>
      <c r="E743" s="255"/>
      <c r="F743" s="207"/>
      <c r="G743" s="173"/>
      <c r="H743" s="255"/>
      <c r="I743" s="207"/>
      <c r="J743" s="173"/>
      <c r="K743" s="255"/>
      <c r="L743" s="207"/>
      <c r="M743" s="181"/>
    </row>
    <row r="744" spans="1:13" ht="12.75">
      <c r="A744" s="6"/>
      <c r="B744" s="6"/>
      <c r="C744" s="6"/>
      <c r="D744" s="6"/>
      <c r="E744" s="7"/>
      <c r="F744" s="205"/>
      <c r="G744" s="171"/>
      <c r="H744" s="7"/>
      <c r="I744" s="205"/>
      <c r="J744" s="171"/>
      <c r="K744" s="7"/>
      <c r="L744" s="205"/>
      <c r="M744" s="171"/>
    </row>
  </sheetData>
  <sheetProtection/>
  <mergeCells count="11">
    <mergeCell ref="K9:M9"/>
    <mergeCell ref="A7:M7"/>
    <mergeCell ref="L735:M735"/>
    <mergeCell ref="J734:K734"/>
    <mergeCell ref="L734:M734"/>
    <mergeCell ref="A9:C9"/>
    <mergeCell ref="D9:D10"/>
    <mergeCell ref="E9:E10"/>
    <mergeCell ref="F9:F10"/>
    <mergeCell ref="G9:G10"/>
    <mergeCell ref="H9:J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124"/>
  <sheetViews>
    <sheetView zoomScalePageLayoutView="0" workbookViewId="0" topLeftCell="T1">
      <selection activeCell="AS68" sqref="AS68"/>
    </sheetView>
  </sheetViews>
  <sheetFormatPr defaultColWidth="9.00390625" defaultRowHeight="12.75"/>
  <cols>
    <col min="1" max="1" width="6.125" style="1" customWidth="1"/>
    <col min="2" max="2" width="31.625" style="1" customWidth="1"/>
    <col min="3" max="3" width="0.2421875" style="1" hidden="1" customWidth="1"/>
    <col min="4" max="4" width="1.75390625" style="1" hidden="1" customWidth="1"/>
    <col min="5" max="5" width="12.00390625" style="5" customWidth="1"/>
    <col min="6" max="6" width="15.25390625" style="14" customWidth="1"/>
    <col min="7" max="7" width="6.125" style="2" customWidth="1"/>
    <col min="8" max="8" width="11.125" style="458" customWidth="1"/>
    <col min="9" max="9" width="13.375" style="459" customWidth="1"/>
    <col min="10" max="10" width="6.375" style="460" customWidth="1"/>
    <col min="11" max="11" width="8.00390625" style="444" customWidth="1"/>
    <col min="12" max="12" width="11.00390625" style="445" customWidth="1"/>
    <col min="13" max="13" width="7.25390625" style="446" customWidth="1"/>
    <col min="14" max="14" width="5.875" style="1" customWidth="1"/>
    <col min="15" max="15" width="8.25390625" style="5" customWidth="1"/>
    <col min="16" max="16" width="9.00390625" style="14" customWidth="1"/>
    <col min="17" max="17" width="5.25390625" style="1" customWidth="1"/>
    <col min="18" max="18" width="9.75390625" style="473" customWidth="1"/>
    <col min="19" max="19" width="11.125" style="474" customWidth="1"/>
    <col min="20" max="20" width="5.25390625" style="475" customWidth="1"/>
    <col min="21" max="21" width="8.375" style="5" customWidth="1"/>
    <col min="22" max="22" width="8.875" style="14" customWidth="1"/>
    <col min="23" max="23" width="3.875" style="1" customWidth="1"/>
    <col min="24" max="24" width="10.00390625" style="473" customWidth="1"/>
    <col min="25" max="25" width="12.25390625" style="484" customWidth="1"/>
    <col min="26" max="26" width="5.25390625" style="475" customWidth="1"/>
    <col min="27" max="27" width="5.25390625" style="485" customWidth="1"/>
    <col min="28" max="28" width="9.875" style="5" customWidth="1"/>
    <col min="29" max="29" width="9.75390625" style="14" customWidth="1"/>
    <col min="30" max="30" width="4.625" style="1" customWidth="1"/>
    <col min="31" max="31" width="0.12890625" style="1" customWidth="1"/>
    <col min="32" max="32" width="31.375" style="1" hidden="1" customWidth="1"/>
    <col min="33" max="33" width="14.875" style="1" hidden="1" customWidth="1"/>
    <col min="34" max="36" width="7.25390625" style="1" hidden="1" customWidth="1"/>
    <col min="37" max="37" width="14.125" style="1" customWidth="1"/>
    <col min="38" max="38" width="9.125" style="1" customWidth="1"/>
    <col min="39" max="39" width="12.25390625" style="1" bestFit="1" customWidth="1"/>
    <col min="40" max="16384" width="9.125" style="1" customWidth="1"/>
  </cols>
  <sheetData>
    <row r="1" ht="2.25" customHeight="1"/>
    <row r="2" spans="1:38" ht="12.75">
      <c r="A2" s="24"/>
      <c r="B2" s="24"/>
      <c r="C2" s="24"/>
      <c r="D2" s="24"/>
      <c r="E2" s="222"/>
      <c r="F2" s="92"/>
      <c r="G2" s="54"/>
      <c r="H2" s="461"/>
      <c r="I2" s="462"/>
      <c r="J2" s="463" t="s">
        <v>186</v>
      </c>
      <c r="K2" s="447"/>
      <c r="L2" s="236"/>
      <c r="M2" s="129"/>
      <c r="N2" s="129"/>
      <c r="O2" s="222"/>
      <c r="P2" s="92"/>
      <c r="Q2" s="24"/>
      <c r="AK2" s="24"/>
      <c r="AL2" s="24"/>
    </row>
    <row r="3" spans="1:38" ht="12.75">
      <c r="A3" s="24"/>
      <c r="B3" s="24"/>
      <c r="C3" s="24"/>
      <c r="D3" s="24"/>
      <c r="E3" s="222"/>
      <c r="F3" s="92"/>
      <c r="G3" s="54"/>
      <c r="H3" s="461"/>
      <c r="I3" s="462"/>
      <c r="J3" s="506" t="s">
        <v>303</v>
      </c>
      <c r="K3" s="231"/>
      <c r="L3" s="184"/>
      <c r="M3" s="52"/>
      <c r="N3" s="52"/>
      <c r="O3" s="222"/>
      <c r="P3" s="92"/>
      <c r="Q3" s="24"/>
      <c r="AK3" s="24"/>
      <c r="AL3" s="24"/>
    </row>
    <row r="4" spans="1:38" ht="12.75">
      <c r="A4" s="53"/>
      <c r="B4" s="53"/>
      <c r="C4" s="53"/>
      <c r="D4" s="53"/>
      <c r="E4" s="223"/>
      <c r="F4" s="227"/>
      <c r="G4" s="216"/>
      <c r="H4" s="464"/>
      <c r="I4" s="96"/>
      <c r="J4" s="465" t="s">
        <v>130</v>
      </c>
      <c r="K4" s="232"/>
      <c r="L4" s="448"/>
      <c r="M4" s="449"/>
      <c r="N4" s="52"/>
      <c r="O4" s="222"/>
      <c r="P4" s="92"/>
      <c r="Q4" s="24"/>
      <c r="AK4" s="24"/>
      <c r="AL4" s="24"/>
    </row>
    <row r="5" spans="1:38" ht="12.75">
      <c r="A5" s="53"/>
      <c r="B5" s="53"/>
      <c r="C5" s="53"/>
      <c r="D5" s="53"/>
      <c r="E5" s="223"/>
      <c r="F5" s="227"/>
      <c r="G5" s="216"/>
      <c r="H5" s="464"/>
      <c r="I5" s="96"/>
      <c r="J5" s="507" t="s">
        <v>301</v>
      </c>
      <c r="K5" s="232"/>
      <c r="L5" s="448"/>
      <c r="M5" s="449"/>
      <c r="N5" s="52"/>
      <c r="O5" s="222"/>
      <c r="P5" s="92"/>
      <c r="Q5" s="24"/>
      <c r="AK5" s="24"/>
      <c r="AL5" s="24"/>
    </row>
    <row r="6" spans="1:38" ht="5.25" customHeight="1">
      <c r="A6" s="53"/>
      <c r="B6" s="53"/>
      <c r="C6" s="53"/>
      <c r="D6" s="53"/>
      <c r="E6" s="223"/>
      <c r="F6" s="227"/>
      <c r="G6" s="216"/>
      <c r="H6" s="464"/>
      <c r="I6" s="96"/>
      <c r="J6" s="466"/>
      <c r="K6" s="223"/>
      <c r="L6" s="227"/>
      <c r="M6" s="53"/>
      <c r="N6" s="24"/>
      <c r="O6" s="222"/>
      <c r="P6" s="92"/>
      <c r="Q6" s="24"/>
      <c r="AK6" s="24"/>
      <c r="AL6" s="24"/>
    </row>
    <row r="7" spans="1:38" ht="15.75" customHeight="1">
      <c r="A7" s="862" t="s">
        <v>302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24"/>
      <c r="O7" s="222"/>
      <c r="P7" s="92"/>
      <c r="Q7" s="24"/>
      <c r="R7" s="476"/>
      <c r="S7" s="477"/>
      <c r="T7" s="478"/>
      <c r="U7" s="222"/>
      <c r="V7" s="92"/>
      <c r="W7" s="24"/>
      <c r="X7" s="476"/>
      <c r="Y7" s="486"/>
      <c r="Z7" s="478"/>
      <c r="AA7" s="487"/>
      <c r="AB7" s="222"/>
      <c r="AC7" s="92"/>
      <c r="AD7" s="24"/>
      <c r="AE7" s="24"/>
      <c r="AF7" s="24"/>
      <c r="AG7" s="24"/>
      <c r="AH7" s="24"/>
      <c r="AI7" s="24"/>
      <c r="AJ7" s="24"/>
      <c r="AK7" s="136"/>
      <c r="AL7" s="136"/>
    </row>
    <row r="8" spans="1:36" ht="5.25" customHeight="1">
      <c r="A8" s="217"/>
      <c r="B8" s="217"/>
      <c r="C8" s="217"/>
      <c r="D8" s="217"/>
      <c r="E8" s="224"/>
      <c r="F8" s="228"/>
      <c r="G8" s="220"/>
      <c r="H8" s="467"/>
      <c r="I8" s="468"/>
      <c r="J8" s="469"/>
      <c r="K8" s="224"/>
      <c r="L8" s="228"/>
      <c r="M8" s="217"/>
      <c r="N8" s="143"/>
      <c r="O8" s="222"/>
      <c r="P8" s="92"/>
      <c r="Q8" s="24"/>
      <c r="R8" s="476"/>
      <c r="S8" s="477"/>
      <c r="T8" s="478"/>
      <c r="U8" s="222"/>
      <c r="V8" s="92"/>
      <c r="W8" s="24"/>
      <c r="X8" s="476"/>
      <c r="Y8" s="486"/>
      <c r="Z8" s="478"/>
      <c r="AA8" s="487"/>
      <c r="AB8" s="222"/>
      <c r="AC8" s="92"/>
      <c r="AD8" s="24"/>
      <c r="AE8" s="24"/>
      <c r="AF8" s="24"/>
      <c r="AG8" s="24"/>
      <c r="AH8" s="24"/>
      <c r="AI8" s="24"/>
      <c r="AJ8" s="24"/>
    </row>
    <row r="9" spans="1:36" ht="3.75" customHeight="1" hidden="1">
      <c r="A9" s="218"/>
      <c r="B9" s="218"/>
      <c r="C9" s="218"/>
      <c r="D9" s="218"/>
      <c r="E9" s="225"/>
      <c r="F9" s="229"/>
      <c r="G9" s="221"/>
      <c r="H9" s="470"/>
      <c r="I9" s="471"/>
      <c r="J9" s="472"/>
      <c r="K9" s="233"/>
      <c r="L9" s="450"/>
      <c r="M9" s="48"/>
      <c r="N9" s="48"/>
      <c r="O9" s="233"/>
      <c r="P9" s="92"/>
      <c r="Q9" s="24"/>
      <c r="R9" s="476"/>
      <c r="S9" s="477"/>
      <c r="T9" s="478"/>
      <c r="U9" s="222"/>
      <c r="V9" s="92"/>
      <c r="W9" s="24"/>
      <c r="X9" s="476"/>
      <c r="Y9" s="486"/>
      <c r="Z9" s="478"/>
      <c r="AA9" s="487"/>
      <c r="AB9" s="222"/>
      <c r="AC9" s="92"/>
      <c r="AD9" s="24"/>
      <c r="AE9" s="24"/>
      <c r="AF9" s="24"/>
      <c r="AG9" s="24"/>
      <c r="AH9" s="24"/>
      <c r="AI9" s="24"/>
      <c r="AJ9" s="24"/>
    </row>
    <row r="10" spans="1:38" ht="10.5" customHeight="1">
      <c r="A10" s="859" t="s">
        <v>172</v>
      </c>
      <c r="B10" s="865" t="s">
        <v>20</v>
      </c>
      <c r="C10" s="859"/>
      <c r="D10" s="896"/>
      <c r="E10" s="885" t="s">
        <v>148</v>
      </c>
      <c r="F10" s="885"/>
      <c r="G10" s="885"/>
      <c r="H10" s="863" t="s">
        <v>153</v>
      </c>
      <c r="I10" s="864"/>
      <c r="J10" s="864"/>
      <c r="K10" s="451"/>
      <c r="L10" s="452"/>
      <c r="M10" s="453"/>
      <c r="N10" s="859" t="s">
        <v>172</v>
      </c>
      <c r="O10" s="894" t="s">
        <v>150</v>
      </c>
      <c r="P10" s="874"/>
      <c r="Q10" s="878"/>
      <c r="R10" s="877" t="s">
        <v>157</v>
      </c>
      <c r="S10" s="886"/>
      <c r="T10" s="887"/>
      <c r="U10" s="873" t="s">
        <v>151</v>
      </c>
      <c r="V10" s="874"/>
      <c r="W10" s="874"/>
      <c r="X10" s="877" t="s">
        <v>158</v>
      </c>
      <c r="Y10" s="886"/>
      <c r="Z10" s="887"/>
      <c r="AA10" s="883" t="s">
        <v>172</v>
      </c>
      <c r="AB10" s="877" t="s">
        <v>159</v>
      </c>
      <c r="AC10" s="874"/>
      <c r="AD10" s="878"/>
      <c r="AE10" s="144"/>
      <c r="AF10" s="145"/>
      <c r="AG10" s="145"/>
      <c r="AH10" s="145"/>
      <c r="AI10" s="145"/>
      <c r="AJ10" s="145"/>
      <c r="AK10" s="6"/>
      <c r="AL10" s="6"/>
    </row>
    <row r="11" spans="1:38" ht="11.25" customHeight="1">
      <c r="A11" s="860"/>
      <c r="B11" s="833"/>
      <c r="C11" s="860"/>
      <c r="D11" s="897"/>
      <c r="E11" s="885"/>
      <c r="F11" s="885"/>
      <c r="G11" s="885"/>
      <c r="H11" s="869" t="s">
        <v>160</v>
      </c>
      <c r="I11" s="870"/>
      <c r="J11" s="870"/>
      <c r="K11" s="454" t="s">
        <v>153</v>
      </c>
      <c r="L11" s="452"/>
      <c r="M11" s="453"/>
      <c r="N11" s="860"/>
      <c r="O11" s="879"/>
      <c r="P11" s="875"/>
      <c r="Q11" s="880"/>
      <c r="R11" s="888"/>
      <c r="S11" s="889"/>
      <c r="T11" s="890"/>
      <c r="U11" s="875"/>
      <c r="V11" s="875"/>
      <c r="W11" s="875"/>
      <c r="X11" s="888"/>
      <c r="Y11" s="889"/>
      <c r="Z11" s="890"/>
      <c r="AA11" s="884"/>
      <c r="AB11" s="879"/>
      <c r="AC11" s="875"/>
      <c r="AD11" s="880"/>
      <c r="AE11" s="144"/>
      <c r="AF11" s="145"/>
      <c r="AG11" s="145"/>
      <c r="AH11" s="145"/>
      <c r="AI11" s="145"/>
      <c r="AJ11" s="145"/>
      <c r="AK11" s="6"/>
      <c r="AL11" s="6"/>
    </row>
    <row r="12" spans="1:38" ht="24" customHeight="1">
      <c r="A12" s="860"/>
      <c r="B12" s="833"/>
      <c r="C12" s="860"/>
      <c r="D12" s="897"/>
      <c r="E12" s="885"/>
      <c r="F12" s="885"/>
      <c r="G12" s="885"/>
      <c r="H12" s="871"/>
      <c r="I12" s="872"/>
      <c r="J12" s="872"/>
      <c r="K12" s="866" t="s">
        <v>206</v>
      </c>
      <c r="L12" s="867"/>
      <c r="M12" s="868"/>
      <c r="N12" s="860"/>
      <c r="O12" s="881"/>
      <c r="P12" s="876"/>
      <c r="Q12" s="882"/>
      <c r="R12" s="891"/>
      <c r="S12" s="892"/>
      <c r="T12" s="893"/>
      <c r="U12" s="876"/>
      <c r="V12" s="876"/>
      <c r="W12" s="876"/>
      <c r="X12" s="891"/>
      <c r="Y12" s="892"/>
      <c r="Z12" s="893"/>
      <c r="AA12" s="884"/>
      <c r="AB12" s="881"/>
      <c r="AC12" s="876"/>
      <c r="AD12" s="882"/>
      <c r="AE12" s="144"/>
      <c r="AF12" s="145"/>
      <c r="AG12" s="145"/>
      <c r="AH12" s="145"/>
      <c r="AI12" s="145"/>
      <c r="AJ12" s="145"/>
      <c r="AK12" s="6"/>
      <c r="AL12" s="6"/>
    </row>
    <row r="13" spans="1:38" ht="11.25" customHeight="1">
      <c r="A13" s="861"/>
      <c r="B13" s="895"/>
      <c r="C13" s="861"/>
      <c r="D13" s="898"/>
      <c r="E13" s="226" t="s">
        <v>149</v>
      </c>
      <c r="F13" s="230" t="s">
        <v>136</v>
      </c>
      <c r="G13" s="135" t="s">
        <v>129</v>
      </c>
      <c r="H13" s="40" t="s">
        <v>149</v>
      </c>
      <c r="I13" s="29" t="s">
        <v>136</v>
      </c>
      <c r="J13" s="30" t="s">
        <v>129</v>
      </c>
      <c r="K13" s="455" t="s">
        <v>205</v>
      </c>
      <c r="L13" s="456" t="s">
        <v>169</v>
      </c>
      <c r="M13" s="457" t="s">
        <v>129</v>
      </c>
      <c r="N13" s="860"/>
      <c r="O13" s="235" t="s">
        <v>149</v>
      </c>
      <c r="P13" s="237" t="s">
        <v>136</v>
      </c>
      <c r="Q13" s="25" t="s">
        <v>129</v>
      </c>
      <c r="R13" s="479" t="s">
        <v>149</v>
      </c>
      <c r="S13" s="480" t="s">
        <v>136</v>
      </c>
      <c r="T13" s="481" t="s">
        <v>129</v>
      </c>
      <c r="U13" s="235" t="s">
        <v>149</v>
      </c>
      <c r="V13" s="237" t="s">
        <v>136</v>
      </c>
      <c r="W13" s="25" t="s">
        <v>129</v>
      </c>
      <c r="X13" s="479" t="s">
        <v>149</v>
      </c>
      <c r="Y13" s="480" t="s">
        <v>136</v>
      </c>
      <c r="Z13" s="481" t="s">
        <v>129</v>
      </c>
      <c r="AA13" s="884"/>
      <c r="AB13" s="235" t="s">
        <v>149</v>
      </c>
      <c r="AC13" s="237" t="s">
        <v>136</v>
      </c>
      <c r="AD13" s="25" t="s">
        <v>129</v>
      </c>
      <c r="AE13" s="95"/>
      <c r="AF13" s="75"/>
      <c r="AG13" s="75"/>
      <c r="AH13" s="75"/>
      <c r="AI13" s="75"/>
      <c r="AJ13" s="75"/>
      <c r="AK13" s="205"/>
      <c r="AL13" s="6"/>
    </row>
    <row r="14" spans="1:38" ht="11.25" customHeight="1">
      <c r="A14" s="132">
        <v>1</v>
      </c>
      <c r="B14" s="133">
        <v>2</v>
      </c>
      <c r="C14" s="132"/>
      <c r="D14" s="134"/>
      <c r="E14" s="226">
        <v>3</v>
      </c>
      <c r="F14" s="226">
        <v>4</v>
      </c>
      <c r="G14" s="135">
        <v>5</v>
      </c>
      <c r="H14" s="40">
        <v>6</v>
      </c>
      <c r="I14" s="40">
        <v>7</v>
      </c>
      <c r="J14" s="30">
        <v>8</v>
      </c>
      <c r="K14" s="455">
        <v>9</v>
      </c>
      <c r="L14" s="455">
        <v>10</v>
      </c>
      <c r="M14" s="457">
        <v>11</v>
      </c>
      <c r="N14" s="132">
        <v>12</v>
      </c>
      <c r="O14" s="234">
        <v>13</v>
      </c>
      <c r="P14" s="234">
        <v>14</v>
      </c>
      <c r="Q14" s="130">
        <v>15</v>
      </c>
      <c r="R14" s="482">
        <v>16</v>
      </c>
      <c r="S14" s="482">
        <v>17</v>
      </c>
      <c r="T14" s="483">
        <v>18</v>
      </c>
      <c r="U14" s="234">
        <v>19</v>
      </c>
      <c r="V14" s="234">
        <v>20</v>
      </c>
      <c r="W14" s="130">
        <v>21</v>
      </c>
      <c r="X14" s="482">
        <v>22</v>
      </c>
      <c r="Y14" s="482">
        <v>23</v>
      </c>
      <c r="Z14" s="483">
        <v>24</v>
      </c>
      <c r="AA14" s="483">
        <v>25</v>
      </c>
      <c r="AB14" s="234">
        <v>26</v>
      </c>
      <c r="AC14" s="234">
        <v>27</v>
      </c>
      <c r="AD14" s="130">
        <v>28</v>
      </c>
      <c r="AE14" s="95"/>
      <c r="AF14" s="75"/>
      <c r="AG14" s="75"/>
      <c r="AH14" s="75"/>
      <c r="AI14" s="75"/>
      <c r="AJ14" s="75"/>
      <c r="AK14" s="205"/>
      <c r="AL14" s="6"/>
    </row>
    <row r="15" spans="1:39" ht="10.5" customHeight="1">
      <c r="A15" s="529" t="s">
        <v>1</v>
      </c>
      <c r="B15" s="530" t="s">
        <v>5</v>
      </c>
      <c r="C15" s="531">
        <f>WYDATKI!E12</f>
        <v>4388934</v>
      </c>
      <c r="D15" s="531">
        <f>WYDATKI!F12</f>
        <v>4047739.93</v>
      </c>
      <c r="E15" s="532">
        <f>SUM(E16:E19)</f>
        <v>617216</v>
      </c>
      <c r="F15" s="533">
        <f>SUM(F16:F19)</f>
        <v>588644.07</v>
      </c>
      <c r="G15" s="534">
        <f aca="true" t="shared" si="0" ref="G15:G20">F15*100/E15</f>
        <v>95.37083776182081</v>
      </c>
      <c r="H15" s="535"/>
      <c r="I15" s="528"/>
      <c r="J15" s="536"/>
      <c r="K15" s="535"/>
      <c r="L15" s="528"/>
      <c r="M15" s="536"/>
      <c r="N15" s="529" t="str">
        <f>A15</f>
        <v>010</v>
      </c>
      <c r="O15" s="535">
        <f>SUM(O16:O19)</f>
        <v>400000</v>
      </c>
      <c r="P15" s="528">
        <f>SUM(P16:P19)</f>
        <v>400000</v>
      </c>
      <c r="Q15" s="528">
        <f>Q16</f>
        <v>100</v>
      </c>
      <c r="R15" s="537"/>
      <c r="S15" s="538"/>
      <c r="T15" s="539"/>
      <c r="U15" s="537"/>
      <c r="V15" s="538"/>
      <c r="W15" s="540"/>
      <c r="X15" s="541">
        <f>SUM(X16:X19)</f>
        <v>59216</v>
      </c>
      <c r="Y15" s="539">
        <f>SUM(Y16:Y19)</f>
        <v>59214.64</v>
      </c>
      <c r="Z15" s="539">
        <f>Y15*100/X15</f>
        <v>99.9977033234261</v>
      </c>
      <c r="AA15" s="542" t="str">
        <f>N15</f>
        <v>010</v>
      </c>
      <c r="AB15" s="537"/>
      <c r="AC15" s="538"/>
      <c r="AD15" s="540"/>
      <c r="AE15" s="543"/>
      <c r="AF15" s="544"/>
      <c r="AG15" s="544"/>
      <c r="AH15" s="544"/>
      <c r="AI15" s="544"/>
      <c r="AJ15" s="544"/>
      <c r="AK15" s="545"/>
      <c r="AL15" s="299"/>
      <c r="AM15" s="14"/>
    </row>
    <row r="16" spans="1:39" ht="0.75" customHeight="1" hidden="1">
      <c r="A16" s="546" t="s">
        <v>297</v>
      </c>
      <c r="B16" s="547" t="s">
        <v>175</v>
      </c>
      <c r="C16" s="548"/>
      <c r="D16" s="549"/>
      <c r="E16" s="550">
        <f>WYDATKI!H13</f>
        <v>400000</v>
      </c>
      <c r="F16" s="551">
        <f>WYDATKI!I13</f>
        <v>400000</v>
      </c>
      <c r="G16" s="552">
        <f t="shared" si="0"/>
        <v>100</v>
      </c>
      <c r="H16" s="553"/>
      <c r="I16" s="554"/>
      <c r="J16" s="555"/>
      <c r="K16" s="553"/>
      <c r="L16" s="554"/>
      <c r="M16" s="555"/>
      <c r="N16" s="546" t="str">
        <f>A16</f>
        <v>01008</v>
      </c>
      <c r="O16" s="556">
        <f>WYDATKI!H13</f>
        <v>400000</v>
      </c>
      <c r="P16" s="557">
        <f>WYDATKI!I13</f>
        <v>400000</v>
      </c>
      <c r="Q16" s="557">
        <f>P16*100/O16</f>
        <v>100</v>
      </c>
      <c r="R16" s="558"/>
      <c r="S16" s="559"/>
      <c r="T16" s="560"/>
      <c r="U16" s="558"/>
      <c r="V16" s="559"/>
      <c r="W16" s="561"/>
      <c r="X16" s="562"/>
      <c r="Y16" s="560"/>
      <c r="Z16" s="560"/>
      <c r="AA16" s="563" t="str">
        <f aca="true" t="shared" si="1" ref="AA16:AA78">N16</f>
        <v>01008</v>
      </c>
      <c r="AB16" s="558"/>
      <c r="AC16" s="559"/>
      <c r="AD16" s="561"/>
      <c r="AE16" s="543"/>
      <c r="AF16" s="544"/>
      <c r="AG16" s="544"/>
      <c r="AH16" s="544"/>
      <c r="AI16" s="544"/>
      <c r="AJ16" s="544"/>
      <c r="AK16" s="545"/>
      <c r="AL16" s="299"/>
      <c r="AM16" s="14"/>
    </row>
    <row r="17" spans="1:39" ht="15.75" customHeight="1" hidden="1">
      <c r="A17" s="565" t="s">
        <v>2</v>
      </c>
      <c r="B17" s="566" t="str">
        <f>WYDATKI!D15</f>
        <v>Infrastruktura wodociągowa i sanitacyjna wsi </v>
      </c>
      <c r="C17" s="548"/>
      <c r="D17" s="549"/>
      <c r="E17" s="567">
        <f>WYDATKI!H15</f>
        <v>150000</v>
      </c>
      <c r="F17" s="568">
        <f>WYDATKI!I15</f>
        <v>124279.47</v>
      </c>
      <c r="G17" s="569">
        <f t="shared" si="0"/>
        <v>82.85298</v>
      </c>
      <c r="H17" s="570"/>
      <c r="I17" s="571"/>
      <c r="J17" s="572"/>
      <c r="K17" s="570"/>
      <c r="L17" s="571"/>
      <c r="M17" s="572"/>
      <c r="N17" s="565" t="str">
        <f aca="true" t="shared" si="2" ref="N17:N79">A17</f>
        <v>01010</v>
      </c>
      <c r="O17" s="573"/>
      <c r="P17" s="574"/>
      <c r="Q17" s="575"/>
      <c r="R17" s="576"/>
      <c r="S17" s="577"/>
      <c r="T17" s="578"/>
      <c r="U17" s="579"/>
      <c r="V17" s="580"/>
      <c r="W17" s="581"/>
      <c r="X17" s="582"/>
      <c r="Y17" s="578"/>
      <c r="Z17" s="578"/>
      <c r="AA17" s="583" t="str">
        <f t="shared" si="1"/>
        <v>01010</v>
      </c>
      <c r="AB17" s="579"/>
      <c r="AC17" s="580"/>
      <c r="AD17" s="581"/>
      <c r="AE17" s="543"/>
      <c r="AF17" s="544"/>
      <c r="AG17" s="544"/>
      <c r="AH17" s="544"/>
      <c r="AI17" s="544"/>
      <c r="AJ17" s="544"/>
      <c r="AK17" s="545"/>
      <c r="AL17" s="299"/>
      <c r="AM17" s="14"/>
    </row>
    <row r="18" spans="1:39" ht="15.75" customHeight="1" hidden="1">
      <c r="A18" s="565" t="s">
        <v>29</v>
      </c>
      <c r="B18" s="566" t="str">
        <f>WYDATKI!D18</f>
        <v>Izby rolnicze </v>
      </c>
      <c r="C18" s="584"/>
      <c r="D18" s="585"/>
      <c r="E18" s="567">
        <f>WYDATKI!H18</f>
        <v>8000</v>
      </c>
      <c r="F18" s="568">
        <f>WYDATKI!I18</f>
        <v>5149.96</v>
      </c>
      <c r="G18" s="586">
        <f t="shared" si="0"/>
        <v>64.3745</v>
      </c>
      <c r="H18" s="587"/>
      <c r="I18" s="588"/>
      <c r="J18" s="589"/>
      <c r="K18" s="587"/>
      <c r="L18" s="588"/>
      <c r="M18" s="589"/>
      <c r="N18" s="565" t="str">
        <f t="shared" si="2"/>
        <v>01030</v>
      </c>
      <c r="O18" s="587"/>
      <c r="P18" s="574"/>
      <c r="Q18" s="575"/>
      <c r="R18" s="590"/>
      <c r="S18" s="591"/>
      <c r="T18" s="592"/>
      <c r="U18" s="593"/>
      <c r="V18" s="591"/>
      <c r="W18" s="594"/>
      <c r="X18" s="595"/>
      <c r="Y18" s="596"/>
      <c r="Z18" s="592"/>
      <c r="AA18" s="583" t="str">
        <f t="shared" si="1"/>
        <v>01030</v>
      </c>
      <c r="AB18" s="590"/>
      <c r="AC18" s="597"/>
      <c r="AD18" s="598"/>
      <c r="AE18" s="599"/>
      <c r="AF18" s="600"/>
      <c r="AG18" s="600"/>
      <c r="AH18" s="600"/>
      <c r="AI18" s="600"/>
      <c r="AJ18" s="600"/>
      <c r="AK18" s="545"/>
      <c r="AL18" s="299"/>
      <c r="AM18" s="14"/>
    </row>
    <row r="19" spans="1:39" ht="15.75" customHeight="1" hidden="1">
      <c r="A19" s="601" t="s">
        <v>138</v>
      </c>
      <c r="B19" s="602" t="str">
        <f>WYDATKI!D20</f>
        <v>Pozostała działalność</v>
      </c>
      <c r="C19" s="603"/>
      <c r="D19" s="604"/>
      <c r="E19" s="605">
        <f>WYDATKI!H20</f>
        <v>59216</v>
      </c>
      <c r="F19" s="606">
        <f>WYDATKI!I20</f>
        <v>59214.64</v>
      </c>
      <c r="G19" s="607">
        <f t="shared" si="0"/>
        <v>99.9977033234261</v>
      </c>
      <c r="H19" s="608"/>
      <c r="I19" s="609"/>
      <c r="J19" s="610"/>
      <c r="K19" s="608"/>
      <c r="L19" s="609"/>
      <c r="M19" s="610"/>
      <c r="N19" s="601" t="str">
        <f t="shared" si="2"/>
        <v>01095</v>
      </c>
      <c r="O19" s="608"/>
      <c r="P19" s="609"/>
      <c r="Q19" s="611"/>
      <c r="R19" s="612"/>
      <c r="S19" s="613"/>
      <c r="T19" s="614"/>
      <c r="U19" s="615"/>
      <c r="V19" s="616"/>
      <c r="W19" s="617"/>
      <c r="X19" s="618">
        <f>E19</f>
        <v>59216</v>
      </c>
      <c r="Y19" s="614">
        <f>F19</f>
        <v>59214.64</v>
      </c>
      <c r="Z19" s="614">
        <f>Y19*100/X19</f>
        <v>99.9977033234261</v>
      </c>
      <c r="AA19" s="619" t="str">
        <f t="shared" si="1"/>
        <v>01095</v>
      </c>
      <c r="AB19" s="615"/>
      <c r="AC19" s="616"/>
      <c r="AD19" s="617"/>
      <c r="AE19" s="599"/>
      <c r="AF19" s="600"/>
      <c r="AG19" s="600"/>
      <c r="AH19" s="600"/>
      <c r="AI19" s="600"/>
      <c r="AJ19" s="600"/>
      <c r="AK19" s="545"/>
      <c r="AL19" s="299"/>
      <c r="AM19" s="14"/>
    </row>
    <row r="20" spans="1:39" ht="13.5" customHeight="1">
      <c r="A20" s="623" t="s">
        <v>32</v>
      </c>
      <c r="B20" s="624" t="s">
        <v>82</v>
      </c>
      <c r="C20" s="625">
        <f>WYDATKI!E23</f>
        <v>9318</v>
      </c>
      <c r="D20" s="625">
        <f>WYDATKI!F23</f>
        <v>9300.91</v>
      </c>
      <c r="E20" s="626">
        <f>WYDATKI!H23</f>
        <v>9318</v>
      </c>
      <c r="F20" s="533">
        <f>WYDATKI!I23</f>
        <v>9300.91</v>
      </c>
      <c r="G20" s="627">
        <f t="shared" si="0"/>
        <v>99.81659154324963</v>
      </c>
      <c r="H20" s="628"/>
      <c r="I20" s="629"/>
      <c r="J20" s="630"/>
      <c r="K20" s="628"/>
      <c r="L20" s="629"/>
      <c r="M20" s="630"/>
      <c r="N20" s="623" t="str">
        <f t="shared" si="2"/>
        <v>020</v>
      </c>
      <c r="O20" s="628"/>
      <c r="P20" s="629"/>
      <c r="Q20" s="629"/>
      <c r="R20" s="631"/>
      <c r="S20" s="632"/>
      <c r="T20" s="633"/>
      <c r="U20" s="631"/>
      <c r="V20" s="632"/>
      <c r="W20" s="634"/>
      <c r="X20" s="635"/>
      <c r="Y20" s="633"/>
      <c r="Z20" s="633"/>
      <c r="AA20" s="636" t="str">
        <f t="shared" si="1"/>
        <v>020</v>
      </c>
      <c r="AB20" s="631"/>
      <c r="AC20" s="632"/>
      <c r="AD20" s="634"/>
      <c r="AE20" s="543"/>
      <c r="AF20" s="544"/>
      <c r="AG20" s="544"/>
      <c r="AH20" s="544"/>
      <c r="AI20" s="544"/>
      <c r="AJ20" s="544"/>
      <c r="AK20" s="545"/>
      <c r="AL20" s="299"/>
      <c r="AM20" s="14"/>
    </row>
    <row r="21" spans="1:39" ht="15.75" customHeight="1" hidden="1">
      <c r="A21" s="641" t="s">
        <v>33</v>
      </c>
      <c r="B21" s="638" t="str">
        <f>WYDATKI!D24</f>
        <v>Pozostała działalność</v>
      </c>
      <c r="C21" s="642"/>
      <c r="D21" s="643"/>
      <c r="E21" s="639">
        <f>WYDATKI!H24</f>
        <v>9318</v>
      </c>
      <c r="F21" s="640">
        <f>WYDATKI!I24</f>
        <v>9300.91</v>
      </c>
      <c r="G21" s="644">
        <f>WYDATKI!J24</f>
        <v>99.81659154324963</v>
      </c>
      <c r="H21" s="645"/>
      <c r="I21" s="646"/>
      <c r="J21" s="647"/>
      <c r="K21" s="645"/>
      <c r="L21" s="646"/>
      <c r="M21" s="647"/>
      <c r="N21" s="641" t="str">
        <f t="shared" si="2"/>
        <v>02095</v>
      </c>
      <c r="O21" s="645"/>
      <c r="P21" s="646"/>
      <c r="Q21" s="629"/>
      <c r="R21" s="648"/>
      <c r="S21" s="649"/>
      <c r="T21" s="650"/>
      <c r="U21" s="648"/>
      <c r="V21" s="649"/>
      <c r="W21" s="651"/>
      <c r="X21" s="652"/>
      <c r="Y21" s="650"/>
      <c r="Z21" s="650"/>
      <c r="AA21" s="653" t="str">
        <f t="shared" si="1"/>
        <v>02095</v>
      </c>
      <c r="AB21" s="648"/>
      <c r="AC21" s="649"/>
      <c r="AD21" s="651"/>
      <c r="AE21" s="599"/>
      <c r="AF21" s="600"/>
      <c r="AG21" s="600"/>
      <c r="AH21" s="600"/>
      <c r="AI21" s="600"/>
      <c r="AJ21" s="600"/>
      <c r="AK21" s="545"/>
      <c r="AL21" s="299"/>
      <c r="AM21" s="14"/>
    </row>
    <row r="22" spans="1:39" ht="15" customHeight="1">
      <c r="A22" s="529">
        <v>600</v>
      </c>
      <c r="B22" s="530" t="s">
        <v>161</v>
      </c>
      <c r="C22" s="531">
        <f>'ZEST_DZIALOW (2)'!C8</f>
        <v>18904204</v>
      </c>
      <c r="D22" s="531">
        <f>'ZEST_DZIALOW (2)'!D8</f>
        <v>18281429.130000003</v>
      </c>
      <c r="E22" s="532">
        <f>SUM(E23:E24)</f>
        <v>9840375</v>
      </c>
      <c r="F22" s="533">
        <f>SUM(F23:F24)</f>
        <v>9570801.83</v>
      </c>
      <c r="G22" s="534">
        <f aca="true" t="shared" si="3" ref="G22:G27">F22*100/E22</f>
        <v>97.26053966439287</v>
      </c>
      <c r="H22" s="535"/>
      <c r="I22" s="528"/>
      <c r="J22" s="655"/>
      <c r="K22" s="535"/>
      <c r="L22" s="528"/>
      <c r="M22" s="536"/>
      <c r="N22" s="529">
        <f t="shared" si="2"/>
        <v>600</v>
      </c>
      <c r="O22" s="535">
        <f>SUM(O23:O24)</f>
        <v>2519040</v>
      </c>
      <c r="P22" s="528">
        <f>SUM(P23:P24)</f>
        <v>2443717</v>
      </c>
      <c r="Q22" s="528">
        <f>P22*100/O22</f>
        <v>97.00985295985772</v>
      </c>
      <c r="R22" s="656"/>
      <c r="S22" s="528"/>
      <c r="T22" s="539"/>
      <c r="U22" s="537"/>
      <c r="V22" s="538"/>
      <c r="W22" s="540"/>
      <c r="X22" s="541"/>
      <c r="Y22" s="539"/>
      <c r="Z22" s="539"/>
      <c r="AA22" s="542">
        <f t="shared" si="1"/>
        <v>600</v>
      </c>
      <c r="AB22" s="541">
        <f>AB23</f>
        <v>2519040</v>
      </c>
      <c r="AC22" s="539">
        <f>AC23</f>
        <v>2443717</v>
      </c>
      <c r="AD22" s="655">
        <f>AC22*100/AB22</f>
        <v>97.00985295985772</v>
      </c>
      <c r="AE22" s="543"/>
      <c r="AF22" s="544"/>
      <c r="AG22" s="544"/>
      <c r="AH22" s="544"/>
      <c r="AI22" s="544"/>
      <c r="AJ22" s="544"/>
      <c r="AK22" s="545"/>
      <c r="AL22" s="299"/>
      <c r="AM22" s="14"/>
    </row>
    <row r="23" spans="1:39" ht="15.75" customHeight="1" hidden="1">
      <c r="A23" s="564">
        <v>60004</v>
      </c>
      <c r="B23" s="657" t="str">
        <f>WYDATKI!D27</f>
        <v>Lokalny transport zbiorowy </v>
      </c>
      <c r="C23" s="658"/>
      <c r="D23" s="659"/>
      <c r="E23" s="550">
        <f>WYDATKI!E27-WYDATKI!K27</f>
        <v>3905580</v>
      </c>
      <c r="F23" s="551">
        <f>WYDATKI!F27-WYDATKI!L27</f>
        <v>3670846.17</v>
      </c>
      <c r="G23" s="552">
        <f t="shared" si="3"/>
        <v>93.9897830795938</v>
      </c>
      <c r="H23" s="556"/>
      <c r="I23" s="557"/>
      <c r="J23" s="660"/>
      <c r="K23" s="573"/>
      <c r="L23" s="574"/>
      <c r="M23" s="661"/>
      <c r="N23" s="564">
        <f t="shared" si="2"/>
        <v>60004</v>
      </c>
      <c r="O23" s="573">
        <f>WYDATKI!H28</f>
        <v>2519040</v>
      </c>
      <c r="P23" s="574">
        <f>WYDATKI!I28</f>
        <v>2443717</v>
      </c>
      <c r="Q23" s="574">
        <f>P23*100/O23:O23</f>
        <v>97.00985295985772</v>
      </c>
      <c r="R23" s="662"/>
      <c r="S23" s="663"/>
      <c r="T23" s="596"/>
      <c r="U23" s="593"/>
      <c r="V23" s="597"/>
      <c r="W23" s="594"/>
      <c r="X23" s="595"/>
      <c r="Y23" s="596"/>
      <c r="Z23" s="596"/>
      <c r="AA23" s="664">
        <f t="shared" si="1"/>
        <v>60004</v>
      </c>
      <c r="AB23" s="618">
        <f>O23</f>
        <v>2519040</v>
      </c>
      <c r="AC23" s="614">
        <f>P23</f>
        <v>2443717</v>
      </c>
      <c r="AD23" s="665">
        <f>AC23*100/AB23</f>
        <v>97.00985295985772</v>
      </c>
      <c r="AE23" s="666"/>
      <c r="AF23" s="667"/>
      <c r="AG23" s="667"/>
      <c r="AH23" s="667"/>
      <c r="AI23" s="667"/>
      <c r="AJ23" s="667"/>
      <c r="AK23" s="545"/>
      <c r="AL23" s="299"/>
      <c r="AM23" s="14"/>
    </row>
    <row r="24" spans="1:41" ht="15.75" customHeight="1" hidden="1">
      <c r="A24" s="669">
        <v>60016</v>
      </c>
      <c r="B24" s="670" t="s">
        <v>7</v>
      </c>
      <c r="C24" s="671"/>
      <c r="D24" s="672"/>
      <c r="E24" s="605">
        <f>WYDATKI!E35-WYDATKI!K35</f>
        <v>5934795</v>
      </c>
      <c r="F24" s="673">
        <f>WYDATKI!F35-WYDATKI!L35</f>
        <v>5899955.66</v>
      </c>
      <c r="G24" s="607">
        <f t="shared" si="3"/>
        <v>99.41296472750955</v>
      </c>
      <c r="H24" s="674"/>
      <c r="I24" s="675"/>
      <c r="J24" s="676"/>
      <c r="K24" s="677"/>
      <c r="L24" s="675"/>
      <c r="M24" s="676"/>
      <c r="N24" s="669">
        <f t="shared" si="2"/>
        <v>60016</v>
      </c>
      <c r="O24" s="677"/>
      <c r="P24" s="675"/>
      <c r="Q24" s="675"/>
      <c r="R24" s="678"/>
      <c r="S24" s="679"/>
      <c r="T24" s="680"/>
      <c r="U24" s="612"/>
      <c r="V24" s="613"/>
      <c r="W24" s="681"/>
      <c r="X24" s="682"/>
      <c r="Y24" s="680"/>
      <c r="Z24" s="680"/>
      <c r="AA24" s="683">
        <f t="shared" si="1"/>
        <v>60016</v>
      </c>
      <c r="AB24" s="612"/>
      <c r="AC24" s="613"/>
      <c r="AD24" s="681"/>
      <c r="AE24" s="599"/>
      <c r="AF24" s="600"/>
      <c r="AG24" s="600"/>
      <c r="AH24" s="600"/>
      <c r="AI24" s="600"/>
      <c r="AJ24" s="600"/>
      <c r="AK24" s="685"/>
      <c r="AL24" s="13"/>
      <c r="AM24" s="14"/>
      <c r="AO24" s="411"/>
    </row>
    <row r="25" spans="1:41" ht="15" customHeight="1">
      <c r="A25" s="623">
        <v>630</v>
      </c>
      <c r="B25" s="624" t="s">
        <v>156</v>
      </c>
      <c r="C25" s="625">
        <f>WYDATKI!E46</f>
        <v>42500</v>
      </c>
      <c r="D25" s="625">
        <f>WYDATKI!F46</f>
        <v>40000</v>
      </c>
      <c r="E25" s="532">
        <f>WYDATKI!H46</f>
        <v>40000</v>
      </c>
      <c r="F25" s="686">
        <f>WYDATKI!I46</f>
        <v>40000</v>
      </c>
      <c r="G25" s="627">
        <f t="shared" si="3"/>
        <v>100</v>
      </c>
      <c r="H25" s="535"/>
      <c r="I25" s="528"/>
      <c r="J25" s="536"/>
      <c r="K25" s="535"/>
      <c r="L25" s="528"/>
      <c r="M25" s="536"/>
      <c r="N25" s="623">
        <f t="shared" si="2"/>
        <v>630</v>
      </c>
      <c r="O25" s="535">
        <f>O26+O32</f>
        <v>40000</v>
      </c>
      <c r="P25" s="528">
        <f>P26+P32</f>
        <v>40000</v>
      </c>
      <c r="Q25" s="528">
        <f>P25*100/O25</f>
        <v>100</v>
      </c>
      <c r="R25" s="656"/>
      <c r="S25" s="528"/>
      <c r="T25" s="539"/>
      <c r="U25" s="537"/>
      <c r="V25" s="538"/>
      <c r="W25" s="540"/>
      <c r="X25" s="541"/>
      <c r="Y25" s="539"/>
      <c r="Z25" s="539"/>
      <c r="AA25" s="636">
        <f t="shared" si="1"/>
        <v>630</v>
      </c>
      <c r="AB25" s="537"/>
      <c r="AC25" s="538"/>
      <c r="AD25" s="540"/>
      <c r="AE25" s="543"/>
      <c r="AF25" s="544"/>
      <c r="AG25" s="544"/>
      <c r="AH25" s="544"/>
      <c r="AI25" s="544"/>
      <c r="AJ25" s="544"/>
      <c r="AK25" s="685"/>
      <c r="AL25" s="13"/>
      <c r="AM25" s="14"/>
      <c r="AO25" s="411"/>
    </row>
    <row r="26" spans="1:39" ht="21.75" customHeight="1" hidden="1">
      <c r="A26" s="564">
        <v>63003</v>
      </c>
      <c r="B26" s="547" t="str">
        <f>WYDATKI!D47</f>
        <v>Zadania w zakresie upowszechniania turystyki</v>
      </c>
      <c r="C26" s="658"/>
      <c r="D26" s="659"/>
      <c r="E26" s="550">
        <f>WYDATKI!H47</f>
        <v>40000</v>
      </c>
      <c r="F26" s="551">
        <f>WYDATKI!I47</f>
        <v>40000</v>
      </c>
      <c r="G26" s="552">
        <f t="shared" si="3"/>
        <v>100</v>
      </c>
      <c r="H26" s="556"/>
      <c r="I26" s="557"/>
      <c r="J26" s="687"/>
      <c r="K26" s="556"/>
      <c r="L26" s="557"/>
      <c r="M26" s="687"/>
      <c r="N26" s="564">
        <f t="shared" si="2"/>
        <v>63003</v>
      </c>
      <c r="O26" s="556">
        <f>WYDATKI!H47</f>
        <v>40000</v>
      </c>
      <c r="P26" s="557">
        <f>WYDATKI!I47</f>
        <v>40000</v>
      </c>
      <c r="Q26" s="557">
        <f>P26*100/O26</f>
        <v>100</v>
      </c>
      <c r="R26" s="688"/>
      <c r="S26" s="689"/>
      <c r="T26" s="690"/>
      <c r="U26" s="691"/>
      <c r="V26" s="692"/>
      <c r="W26" s="693"/>
      <c r="X26" s="694"/>
      <c r="Y26" s="690"/>
      <c r="Z26" s="690"/>
      <c r="AA26" s="664">
        <f t="shared" si="1"/>
        <v>63003</v>
      </c>
      <c r="AB26" s="691"/>
      <c r="AC26" s="692"/>
      <c r="AD26" s="693"/>
      <c r="AE26" s="599"/>
      <c r="AF26" s="600"/>
      <c r="AG26" s="600"/>
      <c r="AH26" s="600"/>
      <c r="AI26" s="600"/>
      <c r="AJ26" s="600"/>
      <c r="AK26" s="685"/>
      <c r="AL26" s="13"/>
      <c r="AM26" s="14"/>
    </row>
    <row r="27" spans="1:39" ht="12.75" customHeight="1">
      <c r="A27" s="623">
        <v>700</v>
      </c>
      <c r="B27" s="624" t="s">
        <v>21</v>
      </c>
      <c r="C27" s="625">
        <f>WYDATKI!E52</f>
        <v>8808380</v>
      </c>
      <c r="D27" s="625">
        <f>WYDATKI!F52</f>
        <v>7932902.66</v>
      </c>
      <c r="E27" s="626">
        <f>WYDATKI!E52-WYDATKI!K52</f>
        <v>5458556</v>
      </c>
      <c r="F27" s="686">
        <f>WYDATKI!F52-WYDATKI!L52</f>
        <v>4873703.33</v>
      </c>
      <c r="G27" s="627">
        <f t="shared" si="3"/>
        <v>89.28557900660907</v>
      </c>
      <c r="H27" s="628">
        <f>H28</f>
        <v>429500</v>
      </c>
      <c r="I27" s="629">
        <f>I28</f>
        <v>411917.68</v>
      </c>
      <c r="J27" s="697">
        <f>I27*100/H27</f>
        <v>95.9063282887078</v>
      </c>
      <c r="K27" s="628"/>
      <c r="L27" s="629"/>
      <c r="M27" s="697"/>
      <c r="N27" s="623">
        <f t="shared" si="2"/>
        <v>700</v>
      </c>
      <c r="O27" s="628"/>
      <c r="P27" s="629"/>
      <c r="Q27" s="557"/>
      <c r="R27" s="698"/>
      <c r="S27" s="699"/>
      <c r="T27" s="633"/>
      <c r="U27" s="631"/>
      <c r="V27" s="632"/>
      <c r="W27" s="634"/>
      <c r="X27" s="635"/>
      <c r="Y27" s="633"/>
      <c r="Z27" s="633"/>
      <c r="AA27" s="636">
        <f t="shared" si="1"/>
        <v>700</v>
      </c>
      <c r="AB27" s="631"/>
      <c r="AC27" s="632"/>
      <c r="AD27" s="634"/>
      <c r="AE27" s="543"/>
      <c r="AF27" s="544"/>
      <c r="AG27" s="544"/>
      <c r="AH27" s="544"/>
      <c r="AI27" s="544"/>
      <c r="AJ27" s="544"/>
      <c r="AK27" s="685"/>
      <c r="AL27" s="13"/>
      <c r="AM27" s="14"/>
    </row>
    <row r="28" spans="1:39" ht="15.75" customHeight="1" hidden="1">
      <c r="A28" s="601">
        <v>70005</v>
      </c>
      <c r="B28" s="602" t="str">
        <f>WYDATKI!D53</f>
        <v>Gospodarka gruntami i nieruchomościami </v>
      </c>
      <c r="C28" s="603"/>
      <c r="D28" s="604"/>
      <c r="E28" s="654">
        <f>WYDATKI!H52</f>
        <v>5458556</v>
      </c>
      <c r="F28" s="640">
        <f>WYDATKI!I52</f>
        <v>4873703.33</v>
      </c>
      <c r="G28" s="700">
        <f>F28/E28*100</f>
        <v>89.28557900660907</v>
      </c>
      <c r="H28" s="608">
        <f>WYDATKI!E54+WYDATKI!E55+WYDATKI!E56</f>
        <v>429500</v>
      </c>
      <c r="I28" s="609">
        <f>WYDATKI!F54+WYDATKI!F55+WYDATKI!F56</f>
        <v>411917.68</v>
      </c>
      <c r="J28" s="609">
        <f>J27</f>
        <v>95.9063282887078</v>
      </c>
      <c r="K28" s="608"/>
      <c r="L28" s="609"/>
      <c r="M28" s="609"/>
      <c r="N28" s="601">
        <f t="shared" si="2"/>
        <v>70005</v>
      </c>
      <c r="O28" s="608"/>
      <c r="P28" s="609"/>
      <c r="Q28" s="557"/>
      <c r="R28" s="701"/>
      <c r="S28" s="702"/>
      <c r="T28" s="614"/>
      <c r="U28" s="615"/>
      <c r="V28" s="616"/>
      <c r="W28" s="617"/>
      <c r="X28" s="618"/>
      <c r="Y28" s="614"/>
      <c r="Z28" s="614"/>
      <c r="AA28" s="619">
        <f t="shared" si="1"/>
        <v>70005</v>
      </c>
      <c r="AB28" s="615"/>
      <c r="AC28" s="616"/>
      <c r="AD28" s="617"/>
      <c r="AE28" s="599"/>
      <c r="AF28" s="600"/>
      <c r="AG28" s="600"/>
      <c r="AH28" s="600"/>
      <c r="AI28" s="600"/>
      <c r="AJ28" s="600"/>
      <c r="AK28" s="685"/>
      <c r="AL28" s="13"/>
      <c r="AM28" s="14"/>
    </row>
    <row r="29" spans="1:39" ht="14.25" customHeight="1">
      <c r="A29" s="623">
        <v>710</v>
      </c>
      <c r="B29" s="624" t="s">
        <v>22</v>
      </c>
      <c r="C29" s="625">
        <f>WYDATKI!E70</f>
        <v>288132</v>
      </c>
      <c r="D29" s="625">
        <f>WYDATKI!F70</f>
        <v>147010.2</v>
      </c>
      <c r="E29" s="626">
        <f>WYDATKI!E70-WYDATKI!K70</f>
        <v>264000</v>
      </c>
      <c r="F29" s="686">
        <f>WYDATKI!F70-WYDATKI!L70</f>
        <v>147010.2</v>
      </c>
      <c r="G29" s="627">
        <f>F29*100/E29</f>
        <v>55.68568181818183</v>
      </c>
      <c r="H29" s="628">
        <f>SUM(H30:H32)</f>
        <v>18000</v>
      </c>
      <c r="I29" s="629">
        <f>SUM(I30:I32)</f>
        <v>7600</v>
      </c>
      <c r="J29" s="697">
        <f>I29*100/H29</f>
        <v>42.22222222222222</v>
      </c>
      <c r="K29" s="628"/>
      <c r="L29" s="629"/>
      <c r="M29" s="697"/>
      <c r="N29" s="623">
        <f t="shared" si="2"/>
        <v>710</v>
      </c>
      <c r="O29" s="628"/>
      <c r="P29" s="628"/>
      <c r="Q29" s="557"/>
      <c r="R29" s="698"/>
      <c r="S29" s="699"/>
      <c r="T29" s="633"/>
      <c r="U29" s="631"/>
      <c r="V29" s="632"/>
      <c r="W29" s="634"/>
      <c r="X29" s="635"/>
      <c r="Y29" s="633"/>
      <c r="Z29" s="633"/>
      <c r="AA29" s="636">
        <f t="shared" si="1"/>
        <v>710</v>
      </c>
      <c r="AB29" s="631"/>
      <c r="AC29" s="631"/>
      <c r="AD29" s="631"/>
      <c r="AE29" s="543"/>
      <c r="AF29" s="544"/>
      <c r="AG29" s="544"/>
      <c r="AH29" s="544"/>
      <c r="AI29" s="544"/>
      <c r="AJ29" s="544"/>
      <c r="AK29" s="685"/>
      <c r="AL29" s="13"/>
      <c r="AM29" s="14"/>
    </row>
    <row r="30" spans="1:39" ht="1.5" customHeight="1" hidden="1">
      <c r="A30" s="564">
        <v>71004</v>
      </c>
      <c r="B30" s="547" t="str">
        <f>WYDATKI!D71</f>
        <v>Plany zagospodarowania przestrzennego </v>
      </c>
      <c r="C30" s="658"/>
      <c r="D30" s="659"/>
      <c r="E30" s="550">
        <f>WYDATKI!H71</f>
        <v>153000</v>
      </c>
      <c r="F30" s="551">
        <f>WYDATKI!I71</f>
        <v>73409.37</v>
      </c>
      <c r="G30" s="552">
        <f>F30*100/E30</f>
        <v>47.97998039215686</v>
      </c>
      <c r="H30" s="556">
        <f>WYDATKI!H72</f>
        <v>18000</v>
      </c>
      <c r="I30" s="557">
        <f>WYDATKI!I72</f>
        <v>7600</v>
      </c>
      <c r="J30" s="704">
        <f>I30*100/H30</f>
        <v>42.22222222222222</v>
      </c>
      <c r="K30" s="556"/>
      <c r="L30" s="557"/>
      <c r="M30" s="704"/>
      <c r="N30" s="564">
        <f t="shared" si="2"/>
        <v>71004</v>
      </c>
      <c r="O30" s="556"/>
      <c r="P30" s="557"/>
      <c r="Q30" s="557"/>
      <c r="R30" s="688"/>
      <c r="S30" s="689"/>
      <c r="T30" s="690"/>
      <c r="U30" s="691"/>
      <c r="V30" s="692"/>
      <c r="W30" s="693"/>
      <c r="X30" s="694"/>
      <c r="Y30" s="690"/>
      <c r="Z30" s="690"/>
      <c r="AA30" s="664">
        <f t="shared" si="1"/>
        <v>71004</v>
      </c>
      <c r="AB30" s="691"/>
      <c r="AC30" s="692"/>
      <c r="AD30" s="693"/>
      <c r="AE30" s="599"/>
      <c r="AF30" s="600"/>
      <c r="AG30" s="600"/>
      <c r="AH30" s="600"/>
      <c r="AI30" s="600"/>
      <c r="AJ30" s="600"/>
      <c r="AK30" s="685"/>
      <c r="AL30" s="13"/>
      <c r="AM30" s="14"/>
    </row>
    <row r="31" spans="1:39" ht="15.75" customHeight="1" hidden="1">
      <c r="A31" s="669">
        <v>71012</v>
      </c>
      <c r="B31" s="670" t="str">
        <f>WYDATKI!D74</f>
        <v>Zadania  z zakresu geodezji i kartografii</v>
      </c>
      <c r="C31" s="671"/>
      <c r="D31" s="672"/>
      <c r="E31" s="567">
        <f>WYDATKI!H74</f>
        <v>111000</v>
      </c>
      <c r="F31" s="568">
        <f>WYDATKI!I74</f>
        <v>73600.83</v>
      </c>
      <c r="G31" s="586">
        <f>F31*100/E31</f>
        <v>66.30705405405405</v>
      </c>
      <c r="H31" s="587"/>
      <c r="I31" s="588"/>
      <c r="J31" s="705"/>
      <c r="K31" s="587"/>
      <c r="L31" s="588"/>
      <c r="M31" s="705"/>
      <c r="N31" s="669">
        <f t="shared" si="2"/>
        <v>71012</v>
      </c>
      <c r="O31" s="587"/>
      <c r="P31" s="588"/>
      <c r="Q31" s="588"/>
      <c r="R31" s="706"/>
      <c r="S31" s="707"/>
      <c r="T31" s="592"/>
      <c r="U31" s="590"/>
      <c r="V31" s="591"/>
      <c r="W31" s="598"/>
      <c r="X31" s="708"/>
      <c r="Y31" s="592"/>
      <c r="Z31" s="592"/>
      <c r="AA31" s="683">
        <f t="shared" si="1"/>
        <v>71012</v>
      </c>
      <c r="AB31" s="590"/>
      <c r="AC31" s="591"/>
      <c r="AD31" s="598"/>
      <c r="AE31" s="599"/>
      <c r="AF31" s="600"/>
      <c r="AG31" s="600"/>
      <c r="AH31" s="600"/>
      <c r="AI31" s="600"/>
      <c r="AJ31" s="600"/>
      <c r="AK31" s="685"/>
      <c r="AL31" s="13"/>
      <c r="AM31" s="14"/>
    </row>
    <row r="32" spans="1:39" ht="57" customHeight="1" hidden="1">
      <c r="A32" s="620">
        <v>71095</v>
      </c>
      <c r="B32" s="621" t="str">
        <f>WYDATKI!D76</f>
        <v>Pozostała działalność - projekt unijny pn. "Regionalne partnerstwo samorządów Mazowsza dla aktywiazacji społeczeństwa informatycznego w zakresie e-administracji i geoinformacji"</v>
      </c>
      <c r="C32" s="709"/>
      <c r="D32" s="710"/>
      <c r="E32" s="605"/>
      <c r="F32" s="605"/>
      <c r="G32" s="711"/>
      <c r="H32" s="677"/>
      <c r="I32" s="675"/>
      <c r="J32" s="712"/>
      <c r="K32" s="677"/>
      <c r="L32" s="675"/>
      <c r="M32" s="712"/>
      <c r="N32" s="620">
        <f t="shared" si="2"/>
        <v>71095</v>
      </c>
      <c r="O32" s="677"/>
      <c r="P32" s="677"/>
      <c r="Q32" s="574"/>
      <c r="R32" s="713"/>
      <c r="S32" s="679"/>
      <c r="T32" s="680"/>
      <c r="U32" s="612"/>
      <c r="V32" s="613"/>
      <c r="W32" s="681"/>
      <c r="X32" s="682"/>
      <c r="Y32" s="680"/>
      <c r="Z32" s="680"/>
      <c r="AA32" s="714">
        <f t="shared" si="1"/>
        <v>71095</v>
      </c>
      <c r="AB32" s="612"/>
      <c r="AC32" s="612"/>
      <c r="AD32" s="612"/>
      <c r="AE32" s="599"/>
      <c r="AF32" s="600"/>
      <c r="AG32" s="600"/>
      <c r="AH32" s="600"/>
      <c r="AI32" s="600"/>
      <c r="AJ32" s="600"/>
      <c r="AK32" s="685"/>
      <c r="AL32" s="13"/>
      <c r="AM32" s="14"/>
    </row>
    <row r="33" spans="1:39" ht="13.5" customHeight="1">
      <c r="A33" s="623">
        <v>750</v>
      </c>
      <c r="B33" s="624" t="s">
        <v>23</v>
      </c>
      <c r="C33" s="625">
        <f>WYDATKI!E78</f>
        <v>20996163</v>
      </c>
      <c r="D33" s="625">
        <f>WYDATKI!F78</f>
        <v>20170842.9</v>
      </c>
      <c r="E33" s="626">
        <f>WYDATKI!E78-WYDATKI!K78</f>
        <v>20765935</v>
      </c>
      <c r="F33" s="686">
        <f>WYDATKI!F78-WYDATKI!L78</f>
        <v>19941839.93</v>
      </c>
      <c r="G33" s="627">
        <f>F33*100/E33</f>
        <v>96.03150510680112</v>
      </c>
      <c r="H33" s="628">
        <f>SUM(H34:H40)</f>
        <v>14693895</v>
      </c>
      <c r="I33" s="629">
        <f>SUM(I34:I40)</f>
        <v>14375130.080000002</v>
      </c>
      <c r="J33" s="697">
        <f>I33*100/H33</f>
        <v>97.83063020390442</v>
      </c>
      <c r="K33" s="628">
        <f>SUM(K34:K40)</f>
        <v>20915</v>
      </c>
      <c r="L33" s="629">
        <f>SUM(L34:L40)</f>
        <v>19708.3</v>
      </c>
      <c r="M33" s="697">
        <f>L33*100/K33</f>
        <v>94.23045661008845</v>
      </c>
      <c r="N33" s="623">
        <f t="shared" si="2"/>
        <v>750</v>
      </c>
      <c r="O33" s="628"/>
      <c r="P33" s="629"/>
      <c r="Q33" s="629"/>
      <c r="R33" s="698">
        <f>SUM(R34:R39)</f>
        <v>564600</v>
      </c>
      <c r="S33" s="699">
        <f>SUM(S34:S39)</f>
        <v>553216.72</v>
      </c>
      <c r="T33" s="633">
        <f>S33*100/R33</f>
        <v>97.98383280198371</v>
      </c>
      <c r="U33" s="631"/>
      <c r="V33" s="632"/>
      <c r="W33" s="634"/>
      <c r="X33" s="698">
        <f>X34</f>
        <v>205012</v>
      </c>
      <c r="Y33" s="699">
        <f>Y34</f>
        <v>201921.18</v>
      </c>
      <c r="Z33" s="699">
        <f>Z34</f>
        <v>98.49237117827249</v>
      </c>
      <c r="AA33" s="636">
        <f t="shared" si="1"/>
        <v>750</v>
      </c>
      <c r="AB33" s="631"/>
      <c r="AC33" s="632"/>
      <c r="AD33" s="716"/>
      <c r="AE33" s="717"/>
      <c r="AF33" s="718"/>
      <c r="AG33" s="718"/>
      <c r="AH33" s="718"/>
      <c r="AI33" s="718"/>
      <c r="AJ33" s="718"/>
      <c r="AK33" s="685"/>
      <c r="AL33" s="13"/>
      <c r="AM33" s="14"/>
    </row>
    <row r="34" spans="1:39" ht="0.75" customHeight="1" hidden="1">
      <c r="A34" s="565">
        <v>75011</v>
      </c>
      <c r="B34" s="566" t="str">
        <f>WYDATKI!D79</f>
        <v>Urzędy wojewódzkie </v>
      </c>
      <c r="C34" s="584"/>
      <c r="D34" s="585"/>
      <c r="E34" s="668">
        <f>WYDATKI!H79</f>
        <v>856038</v>
      </c>
      <c r="F34" s="606">
        <f>WYDATKI!I79</f>
        <v>810968.49</v>
      </c>
      <c r="G34" s="569">
        <f>F34*100/E34</f>
        <v>94.73510404911931</v>
      </c>
      <c r="H34" s="573">
        <f>SUM(WYDATKI!H81:H84)</f>
        <v>811780</v>
      </c>
      <c r="I34" s="574">
        <f>SUM(WYDATKI!I81:I84)</f>
        <v>768286.44</v>
      </c>
      <c r="J34" s="719">
        <f>I34*100/H34</f>
        <v>94.6421986252433</v>
      </c>
      <c r="K34" s="573"/>
      <c r="L34" s="574"/>
      <c r="M34" s="719"/>
      <c r="N34" s="565">
        <f t="shared" si="2"/>
        <v>75011</v>
      </c>
      <c r="O34" s="573"/>
      <c r="P34" s="574"/>
      <c r="Q34" s="574"/>
      <c r="R34" s="662">
        <f>WYDATKI!E80</f>
        <v>800</v>
      </c>
      <c r="S34" s="663">
        <f>WYDATKI!I80</f>
        <v>735</v>
      </c>
      <c r="T34" s="596">
        <f>S34*100/R34</f>
        <v>91.875</v>
      </c>
      <c r="U34" s="593"/>
      <c r="V34" s="597"/>
      <c r="W34" s="594"/>
      <c r="X34" s="595">
        <v>205012</v>
      </c>
      <c r="Y34" s="596">
        <v>201921.18</v>
      </c>
      <c r="Z34" s="596">
        <f>Y34*100/X34</f>
        <v>98.49237117827249</v>
      </c>
      <c r="AA34" s="583">
        <f t="shared" si="1"/>
        <v>75011</v>
      </c>
      <c r="AB34" s="593"/>
      <c r="AC34" s="597"/>
      <c r="AD34" s="720"/>
      <c r="AE34" s="666"/>
      <c r="AF34" s="667"/>
      <c r="AG34" s="667"/>
      <c r="AH34" s="667"/>
      <c r="AI34" s="667"/>
      <c r="AJ34" s="667"/>
      <c r="AK34" s="685"/>
      <c r="AL34" s="13"/>
      <c r="AM34" s="14"/>
    </row>
    <row r="35" spans="1:39" ht="15" customHeight="1" hidden="1">
      <c r="A35" s="669">
        <v>75022</v>
      </c>
      <c r="B35" s="670" t="str">
        <f>WYDATKI!D93</f>
        <v>Rady gmin </v>
      </c>
      <c r="C35" s="671"/>
      <c r="D35" s="672"/>
      <c r="E35" s="567">
        <f>WYDATKI!H93</f>
        <v>529900</v>
      </c>
      <c r="F35" s="568">
        <f>WYDATKI!I93</f>
        <v>520032.76999999996</v>
      </c>
      <c r="G35" s="569">
        <f aca="true" t="shared" si="4" ref="G35:G40">F35*100/E35</f>
        <v>98.13790715229287</v>
      </c>
      <c r="H35" s="587"/>
      <c r="I35" s="588"/>
      <c r="J35" s="719"/>
      <c r="K35" s="573"/>
      <c r="L35" s="574"/>
      <c r="M35" s="719"/>
      <c r="N35" s="669">
        <f t="shared" si="2"/>
        <v>75022</v>
      </c>
      <c r="O35" s="587"/>
      <c r="P35" s="588"/>
      <c r="Q35" s="588"/>
      <c r="R35" s="706">
        <f>WYDATKI!H94</f>
        <v>486000</v>
      </c>
      <c r="S35" s="707">
        <f>WYDATKI!I94</f>
        <v>477328.8</v>
      </c>
      <c r="T35" s="592">
        <f>S35*100/R35</f>
        <v>98.21580246913581</v>
      </c>
      <c r="U35" s="590"/>
      <c r="V35" s="591"/>
      <c r="W35" s="598"/>
      <c r="X35" s="708"/>
      <c r="Y35" s="592"/>
      <c r="Z35" s="592"/>
      <c r="AA35" s="683">
        <f t="shared" si="1"/>
        <v>75022</v>
      </c>
      <c r="AB35" s="590"/>
      <c r="AC35" s="591"/>
      <c r="AD35" s="721"/>
      <c r="AE35" s="666"/>
      <c r="AF35" s="667"/>
      <c r="AG35" s="667"/>
      <c r="AH35" s="667"/>
      <c r="AI35" s="667"/>
      <c r="AJ35" s="667"/>
      <c r="AK35" s="685"/>
      <c r="AL35" s="13"/>
      <c r="AM35" s="14"/>
    </row>
    <row r="36" spans="1:39" ht="15.75" customHeight="1" hidden="1">
      <c r="A36" s="669">
        <v>75023</v>
      </c>
      <c r="B36" s="670" t="str">
        <f>WYDATKI!D100</f>
        <v>Urzędy gmin</v>
      </c>
      <c r="C36" s="671"/>
      <c r="D36" s="672"/>
      <c r="E36" s="567">
        <f>WYDATKI!H100+WYDATKI!H124</f>
        <v>15431759</v>
      </c>
      <c r="F36" s="568">
        <f>WYDATKI!I100+WYDATKI!I124</f>
        <v>14810287.02</v>
      </c>
      <c r="G36" s="569">
        <f t="shared" si="4"/>
        <v>95.97277290294645</v>
      </c>
      <c r="H36" s="587">
        <f>WYDATKI!H102+WYDATKI!H103+WYDATKI!H104+WYDATKI!H105+WYDATKI!H106+WYDATKI!H108+WYDATKI!E125+WYDATKI!E126+WYDATKI!E127+WYDATKI!E128+WYDATKI!E129+WYDATKI!E130</f>
        <v>11947915</v>
      </c>
      <c r="I36" s="587">
        <f>WYDATKI!I102+WYDATKI!I103+WYDATKI!I104+WYDATKI!I105+WYDATKI!I106+WYDATKI!I108+WYDATKI!F125+WYDATKI!F126+WYDATKI!F127+WYDATKI!F128+WYDATKI!F129+WYDATKI!F130</f>
        <v>11707160.740000002</v>
      </c>
      <c r="J36" s="719">
        <f aca="true" t="shared" si="5" ref="J36:J42">I36*100/H36</f>
        <v>97.98496842336091</v>
      </c>
      <c r="K36" s="573">
        <f>SUM(WYDATKI!E125:E130)</f>
        <v>8915</v>
      </c>
      <c r="L36" s="574">
        <f>SUM(WYDATKI!F125:F130)</f>
        <v>8908.39</v>
      </c>
      <c r="M36" s="719"/>
      <c r="N36" s="669">
        <f t="shared" si="2"/>
        <v>75023</v>
      </c>
      <c r="O36" s="587"/>
      <c r="P36" s="588"/>
      <c r="Q36" s="588"/>
      <c r="R36" s="706">
        <f>WYDATKI!H101</f>
        <v>35000</v>
      </c>
      <c r="S36" s="707">
        <f>WYDATKI!I101</f>
        <v>33687.92</v>
      </c>
      <c r="T36" s="592">
        <f>S36*100/R36</f>
        <v>96.2512</v>
      </c>
      <c r="U36" s="590"/>
      <c r="V36" s="591"/>
      <c r="W36" s="598"/>
      <c r="X36" s="708"/>
      <c r="Y36" s="592"/>
      <c r="Z36" s="592"/>
      <c r="AA36" s="683">
        <f t="shared" si="1"/>
        <v>75023</v>
      </c>
      <c r="AB36" s="590"/>
      <c r="AC36" s="591"/>
      <c r="AD36" s="721"/>
      <c r="AE36" s="666"/>
      <c r="AF36" s="667"/>
      <c r="AG36" s="667"/>
      <c r="AH36" s="667"/>
      <c r="AI36" s="667"/>
      <c r="AJ36" s="667"/>
      <c r="AK36" s="685"/>
      <c r="AL36" s="13"/>
      <c r="AM36" s="14"/>
    </row>
    <row r="37" spans="1:39" ht="15.75" customHeight="1" hidden="1">
      <c r="A37" s="669">
        <v>75075</v>
      </c>
      <c r="B37" s="670" t="s">
        <v>204</v>
      </c>
      <c r="C37" s="671"/>
      <c r="D37" s="672"/>
      <c r="E37" s="567">
        <f>WYDATKI!H131</f>
        <v>1090238</v>
      </c>
      <c r="F37" s="568">
        <f>WYDATKI!I131</f>
        <v>1047567.9700000001</v>
      </c>
      <c r="G37" s="569">
        <f t="shared" si="4"/>
        <v>96.08617292737917</v>
      </c>
      <c r="H37" s="587">
        <f>WYDATKI!H132+WYDATKI!H133+WYDATKI!H134</f>
        <v>25700</v>
      </c>
      <c r="I37" s="588">
        <f>WYDATKI!I132+WYDATKI!I133+WYDATKI!I134</f>
        <v>23882.77</v>
      </c>
      <c r="J37" s="719">
        <f t="shared" si="5"/>
        <v>92.92906614785993</v>
      </c>
      <c r="K37" s="587"/>
      <c r="L37" s="588"/>
      <c r="M37" s="705"/>
      <c r="N37" s="669">
        <f t="shared" si="2"/>
        <v>75075</v>
      </c>
      <c r="O37" s="587"/>
      <c r="P37" s="588"/>
      <c r="Q37" s="588"/>
      <c r="R37" s="706"/>
      <c r="S37" s="706"/>
      <c r="T37" s="592"/>
      <c r="U37" s="590"/>
      <c r="V37" s="591"/>
      <c r="W37" s="598"/>
      <c r="X37" s="708"/>
      <c r="Y37" s="592"/>
      <c r="Z37" s="592"/>
      <c r="AA37" s="683">
        <f t="shared" si="1"/>
        <v>75075</v>
      </c>
      <c r="AB37" s="590"/>
      <c r="AC37" s="591"/>
      <c r="AD37" s="721"/>
      <c r="AE37" s="666"/>
      <c r="AF37" s="667"/>
      <c r="AG37" s="667"/>
      <c r="AH37" s="667"/>
      <c r="AI37" s="667"/>
      <c r="AJ37" s="667"/>
      <c r="AK37" s="685"/>
      <c r="AL37" s="13"/>
      <c r="AM37" s="14"/>
    </row>
    <row r="38" spans="1:39" ht="22.5" customHeight="1" hidden="1">
      <c r="A38" s="722">
        <v>75085</v>
      </c>
      <c r="B38" s="670" t="s">
        <v>229</v>
      </c>
      <c r="C38" s="671"/>
      <c r="D38" s="672"/>
      <c r="E38" s="567">
        <f>WYDATKI!H140</f>
        <v>2723000</v>
      </c>
      <c r="F38" s="568">
        <f>WYDATKI!I140</f>
        <v>2644483.94</v>
      </c>
      <c r="G38" s="569">
        <f t="shared" si="4"/>
        <v>97.11656041131106</v>
      </c>
      <c r="H38" s="587">
        <f>(WYDATKI!E142+WYDATKI!E143+WYDATKI!E144+WYDATKI!E145+WYDATKI!E146)</f>
        <v>1896500</v>
      </c>
      <c r="I38" s="588">
        <f>(WYDATKI!F142+WYDATKI!F143+WYDATKI!F144+WYDATKI!F145+WYDATKI!F146)</f>
        <v>1865000.2200000002</v>
      </c>
      <c r="J38" s="705">
        <f t="shared" si="5"/>
        <v>98.33905721065122</v>
      </c>
      <c r="K38" s="587"/>
      <c r="L38" s="588"/>
      <c r="M38" s="705"/>
      <c r="N38" s="722">
        <f t="shared" si="2"/>
        <v>75085</v>
      </c>
      <c r="O38" s="587"/>
      <c r="P38" s="588"/>
      <c r="Q38" s="588"/>
      <c r="R38" s="706">
        <f>WYDATKI!E141</f>
        <v>6800</v>
      </c>
      <c r="S38" s="707">
        <f>WYDATKI!F141</f>
        <v>6065</v>
      </c>
      <c r="T38" s="592">
        <f>S38*100/R38</f>
        <v>89.19117647058823</v>
      </c>
      <c r="U38" s="590"/>
      <c r="V38" s="591"/>
      <c r="W38" s="598"/>
      <c r="X38" s="708"/>
      <c r="Y38" s="592"/>
      <c r="Z38" s="592"/>
      <c r="AA38" s="723">
        <f t="shared" si="1"/>
        <v>75085</v>
      </c>
      <c r="AB38" s="590"/>
      <c r="AC38" s="591"/>
      <c r="AD38" s="721"/>
      <c r="AE38" s="666"/>
      <c r="AF38" s="667"/>
      <c r="AG38" s="667"/>
      <c r="AH38" s="667"/>
      <c r="AI38" s="667"/>
      <c r="AJ38" s="667"/>
      <c r="AK38" s="685"/>
      <c r="AL38" s="13"/>
      <c r="AM38" s="14"/>
    </row>
    <row r="39" spans="1:39" ht="16.5" customHeight="1" hidden="1">
      <c r="A39" s="601">
        <v>75095</v>
      </c>
      <c r="B39" s="670" t="s">
        <v>254</v>
      </c>
      <c r="C39" s="671"/>
      <c r="D39" s="672"/>
      <c r="E39" s="567">
        <f>WYDATKI!H161</f>
        <v>123000</v>
      </c>
      <c r="F39" s="568">
        <f>WYDATKI!I161</f>
        <v>97699.82999999999</v>
      </c>
      <c r="G39" s="569">
        <f t="shared" si="4"/>
        <v>79.43075609756096</v>
      </c>
      <c r="H39" s="587"/>
      <c r="I39" s="587"/>
      <c r="J39" s="705"/>
      <c r="K39" s="587"/>
      <c r="L39" s="587"/>
      <c r="M39" s="705"/>
      <c r="N39" s="601">
        <f t="shared" si="2"/>
        <v>75095</v>
      </c>
      <c r="O39" s="587"/>
      <c r="P39" s="588"/>
      <c r="Q39" s="588"/>
      <c r="R39" s="706">
        <f>WYDATKI!E162</f>
        <v>36000</v>
      </c>
      <c r="S39" s="707">
        <f>WYDATKI!F162</f>
        <v>35400</v>
      </c>
      <c r="T39" s="707">
        <f>WYDATKI!G162</f>
        <v>98.33333333333333</v>
      </c>
      <c r="U39" s="590"/>
      <c r="V39" s="591"/>
      <c r="W39" s="598"/>
      <c r="X39" s="708"/>
      <c r="Y39" s="592"/>
      <c r="Z39" s="592"/>
      <c r="AA39" s="619">
        <f t="shared" si="1"/>
        <v>75095</v>
      </c>
      <c r="AB39" s="590"/>
      <c r="AC39" s="591"/>
      <c r="AD39" s="721"/>
      <c r="AE39" s="666"/>
      <c r="AF39" s="667"/>
      <c r="AG39" s="667"/>
      <c r="AH39" s="667"/>
      <c r="AI39" s="667"/>
      <c r="AJ39" s="667"/>
      <c r="AK39" s="685"/>
      <c r="AL39" s="13"/>
      <c r="AM39" s="14"/>
    </row>
    <row r="40" spans="1:39" ht="60" customHeight="1" hidden="1">
      <c r="A40" s="601">
        <v>75095</v>
      </c>
      <c r="B40" s="695" t="s">
        <v>216</v>
      </c>
      <c r="C40" s="603"/>
      <c r="D40" s="604"/>
      <c r="E40" s="654">
        <f>WYDATKI!H166</f>
        <v>12000</v>
      </c>
      <c r="F40" s="568">
        <f>WYDATKI!I166</f>
        <v>10799.91</v>
      </c>
      <c r="G40" s="569">
        <f t="shared" si="4"/>
        <v>89.99925</v>
      </c>
      <c r="H40" s="608">
        <f>'ZEST_rozdz '!E40</f>
        <v>12000</v>
      </c>
      <c r="I40" s="609">
        <f>'ZEST_rozdz '!F40</f>
        <v>10799.91</v>
      </c>
      <c r="J40" s="705">
        <f t="shared" si="5"/>
        <v>89.99925</v>
      </c>
      <c r="K40" s="608">
        <f>WYDATKI!E166</f>
        <v>12000</v>
      </c>
      <c r="L40" s="608">
        <f>WYDATKI!F166</f>
        <v>10799.91</v>
      </c>
      <c r="M40" s="724">
        <f>L40*100/K40</f>
        <v>89.99925</v>
      </c>
      <c r="N40" s="601">
        <f t="shared" si="2"/>
        <v>75095</v>
      </c>
      <c r="O40" s="608"/>
      <c r="P40" s="609"/>
      <c r="Q40" s="609"/>
      <c r="R40" s="701"/>
      <c r="S40" s="701"/>
      <c r="T40" s="701"/>
      <c r="U40" s="615"/>
      <c r="V40" s="616"/>
      <c r="W40" s="617"/>
      <c r="X40" s="618"/>
      <c r="Y40" s="614"/>
      <c r="Z40" s="614"/>
      <c r="AA40" s="619">
        <f t="shared" si="1"/>
        <v>75095</v>
      </c>
      <c r="AB40" s="615"/>
      <c r="AC40" s="616"/>
      <c r="AD40" s="725"/>
      <c r="AE40" s="666"/>
      <c r="AF40" s="667"/>
      <c r="AG40" s="667"/>
      <c r="AH40" s="667"/>
      <c r="AI40" s="667"/>
      <c r="AJ40" s="667"/>
      <c r="AK40" s="685"/>
      <c r="AL40" s="13"/>
      <c r="AM40" s="14"/>
    </row>
    <row r="41" spans="1:41" ht="20.25" customHeight="1">
      <c r="A41" s="726">
        <v>751</v>
      </c>
      <c r="B41" s="530" t="s">
        <v>135</v>
      </c>
      <c r="C41" s="625">
        <f>WYDATKI!E173</f>
        <v>212305</v>
      </c>
      <c r="D41" s="625">
        <f>WYDATKI!F173</f>
        <v>158599.74000000002</v>
      </c>
      <c r="E41" s="727">
        <f>WYDATKI!H173</f>
        <v>212305</v>
      </c>
      <c r="F41" s="533">
        <f>WYDATKI!I173</f>
        <v>158599.74000000002</v>
      </c>
      <c r="G41" s="644">
        <f aca="true" t="shared" si="6" ref="G41:G49">F41*100/E41</f>
        <v>74.70372341678247</v>
      </c>
      <c r="H41" s="628">
        <f>SUM(H42:H42)</f>
        <v>100670</v>
      </c>
      <c r="I41" s="629">
        <f>SUM(I42:I42)</f>
        <v>81689.5</v>
      </c>
      <c r="J41" s="697">
        <f t="shared" si="5"/>
        <v>81.14582298599385</v>
      </c>
      <c r="K41" s="628"/>
      <c r="L41" s="629"/>
      <c r="M41" s="697"/>
      <c r="N41" s="726">
        <f t="shared" si="2"/>
        <v>751</v>
      </c>
      <c r="O41" s="628"/>
      <c r="P41" s="629"/>
      <c r="Q41" s="629"/>
      <c r="R41" s="698">
        <f>R43</f>
        <v>55060</v>
      </c>
      <c r="S41" s="699">
        <f>S43</f>
        <v>53260</v>
      </c>
      <c r="T41" s="699">
        <f>T43</f>
        <v>96.73083908463494</v>
      </c>
      <c r="U41" s="631"/>
      <c r="V41" s="632"/>
      <c r="W41" s="634"/>
      <c r="X41" s="635">
        <f>X42+X43</f>
        <v>119512</v>
      </c>
      <c r="Y41" s="633">
        <f>Y42+Y43</f>
        <v>99663.61</v>
      </c>
      <c r="Z41" s="633">
        <f>Y41*100/X41</f>
        <v>83.39213635450834</v>
      </c>
      <c r="AA41" s="728">
        <f t="shared" si="1"/>
        <v>751</v>
      </c>
      <c r="AB41" s="631"/>
      <c r="AC41" s="632"/>
      <c r="AD41" s="634"/>
      <c r="AE41" s="543"/>
      <c r="AF41" s="544"/>
      <c r="AG41" s="544"/>
      <c r="AH41" s="544"/>
      <c r="AI41" s="544"/>
      <c r="AJ41" s="544"/>
      <c r="AK41" s="685"/>
      <c r="AL41" s="13"/>
      <c r="AM41" s="14"/>
      <c r="AO41" s="412"/>
    </row>
    <row r="42" spans="1:39" ht="0.75" customHeight="1" hidden="1">
      <c r="A42" s="565">
        <v>75101</v>
      </c>
      <c r="B42" s="547" t="str">
        <f>WYDATKI!D174</f>
        <v>Urzędy naczelnych organów władzy państwowej, kontroli i ochrony prawa</v>
      </c>
      <c r="C42" s="658"/>
      <c r="D42" s="659"/>
      <c r="E42" s="550">
        <f>WYDATKI!H174</f>
        <v>4600</v>
      </c>
      <c r="F42" s="551">
        <f>WYDATKI!I174</f>
        <v>4553.22</v>
      </c>
      <c r="G42" s="729">
        <f t="shared" si="6"/>
        <v>98.98304347826087</v>
      </c>
      <c r="H42" s="556">
        <f>WYDATKI!H175+WYDATKI!H176+WYDATKI!E179+WYDATKI!E180+WYDATKI!E181</f>
        <v>100670</v>
      </c>
      <c r="I42" s="557">
        <f>WYDATKI!I175+WYDATKI!I176+WYDATKI!F179+WYDATKI!F180+WYDATKI!F181</f>
        <v>81689.5</v>
      </c>
      <c r="J42" s="704">
        <f t="shared" si="5"/>
        <v>81.14582298599385</v>
      </c>
      <c r="K42" s="556"/>
      <c r="L42" s="557"/>
      <c r="M42" s="704"/>
      <c r="N42" s="565">
        <f t="shared" si="2"/>
        <v>75101</v>
      </c>
      <c r="O42" s="556"/>
      <c r="P42" s="557"/>
      <c r="Q42" s="557"/>
      <c r="R42" s="688"/>
      <c r="S42" s="689"/>
      <c r="T42" s="690"/>
      <c r="U42" s="691"/>
      <c r="V42" s="692"/>
      <c r="W42" s="693"/>
      <c r="X42" s="694">
        <v>4394</v>
      </c>
      <c r="Y42" s="690">
        <v>4394</v>
      </c>
      <c r="Z42" s="650">
        <f>Y42*100/X42</f>
        <v>100</v>
      </c>
      <c r="AA42" s="583">
        <f t="shared" si="1"/>
        <v>75101</v>
      </c>
      <c r="AB42" s="691"/>
      <c r="AC42" s="692"/>
      <c r="AD42" s="693"/>
      <c r="AE42" s="599"/>
      <c r="AF42" s="600"/>
      <c r="AG42" s="600"/>
      <c r="AH42" s="600"/>
      <c r="AI42" s="600"/>
      <c r="AJ42" s="600"/>
      <c r="AK42" s="685"/>
      <c r="AL42" s="13"/>
      <c r="AM42" s="14"/>
    </row>
    <row r="43" spans="1:39" ht="30.75" customHeight="1" hidden="1">
      <c r="A43" s="601">
        <v>75109</v>
      </c>
      <c r="B43" s="730" t="str">
        <f>WYDATKI!D177</f>
        <v>Urzędy naczelnych organów władzy państwowej, kontroli i ochrony prawa</v>
      </c>
      <c r="C43" s="731"/>
      <c r="D43" s="732"/>
      <c r="E43" s="703">
        <f>WYDATKI!H177</f>
        <v>207705</v>
      </c>
      <c r="F43" s="703">
        <f>WYDATKI!I177</f>
        <v>154046.52000000002</v>
      </c>
      <c r="G43" s="729">
        <f t="shared" si="6"/>
        <v>74.16601429912618</v>
      </c>
      <c r="H43" s="733"/>
      <c r="I43" s="734"/>
      <c r="J43" s="735"/>
      <c r="K43" s="733"/>
      <c r="L43" s="734"/>
      <c r="M43" s="735"/>
      <c r="N43" s="601">
        <f t="shared" si="2"/>
        <v>75109</v>
      </c>
      <c r="O43" s="733"/>
      <c r="P43" s="734"/>
      <c r="Q43" s="734"/>
      <c r="R43" s="736">
        <f>WYDATKI!E178</f>
        <v>55060</v>
      </c>
      <c r="S43" s="737">
        <f>WYDATKI!F178</f>
        <v>53260</v>
      </c>
      <c r="T43" s="738">
        <f>S43*100/R43</f>
        <v>96.73083908463494</v>
      </c>
      <c r="U43" s="739"/>
      <c r="V43" s="740"/>
      <c r="W43" s="741"/>
      <c r="X43" s="742">
        <v>115118</v>
      </c>
      <c r="Y43" s="738">
        <v>95269.61</v>
      </c>
      <c r="Z43" s="650">
        <f>Y43*100/X43</f>
        <v>82.7582219982974</v>
      </c>
      <c r="AA43" s="619">
        <f t="shared" si="1"/>
        <v>75109</v>
      </c>
      <c r="AB43" s="739"/>
      <c r="AC43" s="740"/>
      <c r="AD43" s="741"/>
      <c r="AE43" s="599"/>
      <c r="AF43" s="600"/>
      <c r="AG43" s="600"/>
      <c r="AH43" s="600"/>
      <c r="AI43" s="600"/>
      <c r="AJ43" s="600"/>
      <c r="AK43" s="685"/>
      <c r="AL43" s="13"/>
      <c r="AM43" s="14"/>
    </row>
    <row r="44" spans="1:39" ht="19.5" customHeight="1">
      <c r="A44" s="623">
        <v>754</v>
      </c>
      <c r="B44" s="624" t="s">
        <v>24</v>
      </c>
      <c r="C44" s="625" t="e">
        <f>WYDATKI!#REF!</f>
        <v>#REF!</v>
      </c>
      <c r="D44" s="625" t="e">
        <f>WYDATKI!#REF!</f>
        <v>#REF!</v>
      </c>
      <c r="E44" s="626">
        <f>WYDATKI!H184</f>
        <v>1026000</v>
      </c>
      <c r="F44" s="533">
        <f>WYDATKI!I184</f>
        <v>917415.2000000001</v>
      </c>
      <c r="G44" s="743">
        <f t="shared" si="6"/>
        <v>89.41668615984405</v>
      </c>
      <c r="H44" s="628"/>
      <c r="I44" s="629"/>
      <c r="J44" s="697"/>
      <c r="K44" s="628"/>
      <c r="L44" s="629"/>
      <c r="M44" s="630"/>
      <c r="N44" s="623">
        <f t="shared" si="2"/>
        <v>754</v>
      </c>
      <c r="O44" s="628">
        <f>O45</f>
        <v>90000</v>
      </c>
      <c r="P44" s="629">
        <f>P45</f>
        <v>83355.5</v>
      </c>
      <c r="Q44" s="629">
        <f>P44*100/O44</f>
        <v>92.61722222222222</v>
      </c>
      <c r="R44" s="698">
        <f>SUM(R45:R48)</f>
        <v>190455</v>
      </c>
      <c r="S44" s="699">
        <f>SUM(S45:S48)</f>
        <v>181413.5</v>
      </c>
      <c r="T44" s="633">
        <f>S44*100/R44</f>
        <v>95.25268436113518</v>
      </c>
      <c r="U44" s="631"/>
      <c r="V44" s="632"/>
      <c r="W44" s="634"/>
      <c r="X44" s="635"/>
      <c r="Y44" s="633"/>
      <c r="Z44" s="633"/>
      <c r="AA44" s="636">
        <f t="shared" si="1"/>
        <v>754</v>
      </c>
      <c r="AB44" s="631"/>
      <c r="AC44" s="632"/>
      <c r="AD44" s="634"/>
      <c r="AE44" s="543"/>
      <c r="AF44" s="544"/>
      <c r="AG44" s="544"/>
      <c r="AH44" s="544"/>
      <c r="AI44" s="544"/>
      <c r="AJ44" s="544"/>
      <c r="AK44" s="685"/>
      <c r="AL44" s="13"/>
      <c r="AM44" s="14"/>
    </row>
    <row r="45" spans="1:39" ht="14.25" customHeight="1" hidden="1">
      <c r="A45" s="564">
        <v>75404</v>
      </c>
      <c r="B45" s="547" t="str">
        <f>WYDATKI!D185</f>
        <v>Komendy wojewódzkie Policji</v>
      </c>
      <c r="C45" s="658"/>
      <c r="D45" s="659"/>
      <c r="E45" s="550">
        <f>WYDATKI!H185</f>
        <v>90000</v>
      </c>
      <c r="F45" s="551">
        <f>WYDATKI!I185</f>
        <v>83355.5</v>
      </c>
      <c r="G45" s="744">
        <f t="shared" si="6"/>
        <v>92.61722222222222</v>
      </c>
      <c r="H45" s="556"/>
      <c r="I45" s="557"/>
      <c r="J45" s="687"/>
      <c r="K45" s="556"/>
      <c r="L45" s="557"/>
      <c r="M45" s="687"/>
      <c r="N45" s="564">
        <f t="shared" si="2"/>
        <v>75404</v>
      </c>
      <c r="O45" s="556">
        <f>WYDATKI!E186</f>
        <v>90000</v>
      </c>
      <c r="P45" s="557">
        <f>WYDATKI!F186</f>
        <v>83355.5</v>
      </c>
      <c r="Q45" s="557">
        <f>P45*100/O45</f>
        <v>92.61722222222222</v>
      </c>
      <c r="R45" s="688"/>
      <c r="S45" s="689"/>
      <c r="T45" s="690"/>
      <c r="U45" s="691"/>
      <c r="V45" s="692"/>
      <c r="W45" s="693"/>
      <c r="X45" s="694"/>
      <c r="Y45" s="690"/>
      <c r="Z45" s="690"/>
      <c r="AA45" s="664">
        <f t="shared" si="1"/>
        <v>75404</v>
      </c>
      <c r="AB45" s="691"/>
      <c r="AC45" s="692"/>
      <c r="AD45" s="693"/>
      <c r="AE45" s="599"/>
      <c r="AF45" s="600"/>
      <c r="AG45" s="600"/>
      <c r="AH45" s="600"/>
      <c r="AI45" s="600"/>
      <c r="AJ45" s="600"/>
      <c r="AK45" s="685"/>
      <c r="AL45" s="13"/>
      <c r="AM45" s="14"/>
    </row>
    <row r="46" spans="1:39" ht="15" customHeight="1" hidden="1">
      <c r="A46" s="669">
        <v>75412</v>
      </c>
      <c r="B46" s="670" t="str">
        <f>WYDATKI!D188</f>
        <v>Ochotnicze straże pożarne </v>
      </c>
      <c r="C46" s="671"/>
      <c r="D46" s="672"/>
      <c r="E46" s="567">
        <f>WYDATKI!E188-WYDATKI!K188</f>
        <v>717254</v>
      </c>
      <c r="F46" s="606">
        <f>WYDATKI!F188-WYDATKI!L188</f>
        <v>691216.6800000002</v>
      </c>
      <c r="G46" s="745">
        <f t="shared" si="6"/>
        <v>96.36986060726049</v>
      </c>
      <c r="H46" s="573"/>
      <c r="I46" s="588"/>
      <c r="J46" s="589"/>
      <c r="K46" s="587"/>
      <c r="L46" s="588"/>
      <c r="M46" s="589"/>
      <c r="N46" s="669">
        <f t="shared" si="2"/>
        <v>75412</v>
      </c>
      <c r="O46" s="587"/>
      <c r="P46" s="588"/>
      <c r="Q46" s="588"/>
      <c r="R46" s="706">
        <f>WYDATKI!E189+WYDATKI!E190</f>
        <v>189446</v>
      </c>
      <c r="S46" s="707">
        <f>WYDATKI!F189+WYDATKI!F190</f>
        <v>180404.71</v>
      </c>
      <c r="T46" s="592">
        <f>WYDATKI!J189</f>
        <v>93.44930952380952</v>
      </c>
      <c r="U46" s="590"/>
      <c r="V46" s="591"/>
      <c r="W46" s="591"/>
      <c r="X46" s="708"/>
      <c r="Y46" s="592"/>
      <c r="Z46" s="592"/>
      <c r="AA46" s="683">
        <f t="shared" si="1"/>
        <v>75412</v>
      </c>
      <c r="AB46" s="590"/>
      <c r="AC46" s="591"/>
      <c r="AD46" s="598"/>
      <c r="AE46" s="599"/>
      <c r="AF46" s="600"/>
      <c r="AG46" s="600"/>
      <c r="AH46" s="600"/>
      <c r="AI46" s="600"/>
      <c r="AJ46" s="600"/>
      <c r="AK46" s="685"/>
      <c r="AL46" s="13"/>
      <c r="AM46" s="14"/>
    </row>
    <row r="47" spans="1:39" ht="15" customHeight="1" hidden="1">
      <c r="A47" s="669">
        <v>75421</v>
      </c>
      <c r="B47" s="670" t="str">
        <f>WYDATKI!D201</f>
        <v>Zarządzanie kryzysowe</v>
      </c>
      <c r="C47" s="671"/>
      <c r="D47" s="672"/>
      <c r="E47" s="567">
        <f>WYDATKI!H201</f>
        <v>217737</v>
      </c>
      <c r="F47" s="568">
        <f>WYDATKI!I201</f>
        <v>141834.22999999998</v>
      </c>
      <c r="G47" s="745">
        <f t="shared" si="6"/>
        <v>65.14015991769887</v>
      </c>
      <c r="H47" s="587"/>
      <c r="I47" s="588"/>
      <c r="J47" s="589"/>
      <c r="K47" s="573"/>
      <c r="L47" s="588"/>
      <c r="M47" s="589"/>
      <c r="N47" s="669">
        <f t="shared" si="2"/>
        <v>75421</v>
      </c>
      <c r="O47" s="587"/>
      <c r="P47" s="588"/>
      <c r="Q47" s="588"/>
      <c r="R47" s="706"/>
      <c r="S47" s="707"/>
      <c r="T47" s="592"/>
      <c r="U47" s="590"/>
      <c r="V47" s="591"/>
      <c r="W47" s="591"/>
      <c r="X47" s="708"/>
      <c r="Y47" s="592"/>
      <c r="Z47" s="592"/>
      <c r="AA47" s="683">
        <f t="shared" si="1"/>
        <v>75421</v>
      </c>
      <c r="AB47" s="590"/>
      <c r="AC47" s="591"/>
      <c r="AD47" s="598"/>
      <c r="AE47" s="599"/>
      <c r="AF47" s="600"/>
      <c r="AG47" s="600"/>
      <c r="AH47" s="600"/>
      <c r="AI47" s="600"/>
      <c r="AJ47" s="600"/>
      <c r="AK47" s="685"/>
      <c r="AL47" s="13"/>
      <c r="AM47" s="14"/>
    </row>
    <row r="48" spans="1:39" ht="14.25" customHeight="1" hidden="1">
      <c r="A48" s="620">
        <v>75495</v>
      </c>
      <c r="B48" s="621" t="str">
        <f>WYDATKI!D205</f>
        <v>Pozostała działalność</v>
      </c>
      <c r="C48" s="709"/>
      <c r="D48" s="710"/>
      <c r="E48" s="605"/>
      <c r="F48" s="622"/>
      <c r="G48" s="746"/>
      <c r="H48" s="674"/>
      <c r="I48" s="677"/>
      <c r="J48" s="712"/>
      <c r="K48" s="677"/>
      <c r="L48" s="675"/>
      <c r="M48" s="676"/>
      <c r="N48" s="620">
        <f t="shared" si="2"/>
        <v>75495</v>
      </c>
      <c r="O48" s="677"/>
      <c r="P48" s="675"/>
      <c r="Q48" s="675"/>
      <c r="R48" s="678">
        <f>WYDATKI!E206</f>
        <v>1009</v>
      </c>
      <c r="S48" s="679">
        <f>WYDATKI!F206</f>
        <v>1008.79</v>
      </c>
      <c r="T48" s="592">
        <f>WYDATKI!J191</f>
        <v>89.47320940676198</v>
      </c>
      <c r="U48" s="612"/>
      <c r="V48" s="613"/>
      <c r="W48" s="613"/>
      <c r="X48" s="682"/>
      <c r="Y48" s="680"/>
      <c r="Z48" s="680"/>
      <c r="AA48" s="714">
        <f t="shared" si="1"/>
        <v>75495</v>
      </c>
      <c r="AB48" s="612"/>
      <c r="AC48" s="613"/>
      <c r="AD48" s="681"/>
      <c r="AE48" s="599"/>
      <c r="AF48" s="600"/>
      <c r="AG48" s="600"/>
      <c r="AH48" s="600"/>
      <c r="AI48" s="600"/>
      <c r="AJ48" s="600"/>
      <c r="AK48" s="685"/>
      <c r="AL48" s="13"/>
      <c r="AM48" s="14"/>
    </row>
    <row r="49" spans="1:39" ht="14.25" customHeight="1">
      <c r="A49" s="623">
        <v>757</v>
      </c>
      <c r="B49" s="624" t="s">
        <v>83</v>
      </c>
      <c r="C49" s="747">
        <f>WYDATKI!E210</f>
        <v>2220000</v>
      </c>
      <c r="D49" s="625">
        <f>WYDATKI!F210</f>
        <v>2164954.44</v>
      </c>
      <c r="E49" s="626">
        <f>WYDATKI!H210</f>
        <v>2220000</v>
      </c>
      <c r="F49" s="533">
        <f>WYDATKI!I210</f>
        <v>2164954.44</v>
      </c>
      <c r="G49" s="748">
        <f t="shared" si="6"/>
        <v>97.52047027027027</v>
      </c>
      <c r="H49" s="645"/>
      <c r="I49" s="646"/>
      <c r="J49" s="647"/>
      <c r="K49" s="645"/>
      <c r="L49" s="646"/>
      <c r="M49" s="647"/>
      <c r="N49" s="623">
        <f t="shared" si="2"/>
        <v>757</v>
      </c>
      <c r="O49" s="645"/>
      <c r="P49" s="646"/>
      <c r="Q49" s="646"/>
      <c r="R49" s="648"/>
      <c r="S49" s="649"/>
      <c r="T49" s="650"/>
      <c r="U49" s="631">
        <f>E49</f>
        <v>2220000</v>
      </c>
      <c r="V49" s="632">
        <f>F49</f>
        <v>2164954.44</v>
      </c>
      <c r="W49" s="632">
        <f>V49*100/U49</f>
        <v>97.52047027027027</v>
      </c>
      <c r="X49" s="652"/>
      <c r="Y49" s="650"/>
      <c r="Z49" s="650"/>
      <c r="AA49" s="636">
        <f t="shared" si="1"/>
        <v>757</v>
      </c>
      <c r="AB49" s="648"/>
      <c r="AC49" s="649"/>
      <c r="AD49" s="749"/>
      <c r="AE49" s="666"/>
      <c r="AF49" s="667"/>
      <c r="AG49" s="667"/>
      <c r="AH49" s="667"/>
      <c r="AI49" s="667"/>
      <c r="AJ49" s="667"/>
      <c r="AK49" s="685"/>
      <c r="AL49" s="13"/>
      <c r="AM49" s="14"/>
    </row>
    <row r="50" spans="1:39" ht="26.25" customHeight="1" hidden="1">
      <c r="A50" s="601">
        <v>75702</v>
      </c>
      <c r="B50" s="602" t="str">
        <f>WYDATKI!D211</f>
        <v>Obsługa papierów wartościowych, kredytów i pożyczek jst</v>
      </c>
      <c r="C50" s="603"/>
      <c r="D50" s="604"/>
      <c r="E50" s="654">
        <f>WYDATKI!H211</f>
        <v>2220000</v>
      </c>
      <c r="F50" s="696">
        <f>WYDATKI!I211</f>
        <v>2164954.44</v>
      </c>
      <c r="G50" s="750">
        <f>G49</f>
        <v>97.52047027027027</v>
      </c>
      <c r="H50" s="608"/>
      <c r="I50" s="609"/>
      <c r="J50" s="610"/>
      <c r="K50" s="608"/>
      <c r="L50" s="609"/>
      <c r="M50" s="610"/>
      <c r="N50" s="601">
        <f t="shared" si="2"/>
        <v>75702</v>
      </c>
      <c r="O50" s="608"/>
      <c r="P50" s="609"/>
      <c r="Q50" s="609"/>
      <c r="R50" s="751"/>
      <c r="S50" s="752"/>
      <c r="T50" s="614"/>
      <c r="U50" s="615">
        <f>E50</f>
        <v>2220000</v>
      </c>
      <c r="V50" s="616">
        <f>F50</f>
        <v>2164954.44</v>
      </c>
      <c r="W50" s="616">
        <f>W49</f>
        <v>97.52047027027027</v>
      </c>
      <c r="X50" s="618"/>
      <c r="Y50" s="614"/>
      <c r="Z50" s="614"/>
      <c r="AA50" s="619">
        <f t="shared" si="1"/>
        <v>75702</v>
      </c>
      <c r="AB50" s="615"/>
      <c r="AC50" s="616"/>
      <c r="AD50" s="725"/>
      <c r="AE50" s="666"/>
      <c r="AF50" s="667"/>
      <c r="AG50" s="667"/>
      <c r="AH50" s="667"/>
      <c r="AI50" s="667"/>
      <c r="AJ50" s="667"/>
      <c r="AK50" s="685"/>
      <c r="AL50" s="13"/>
      <c r="AM50" s="14"/>
    </row>
    <row r="51" spans="1:39" ht="12.75" customHeight="1">
      <c r="A51" s="623">
        <v>758</v>
      </c>
      <c r="B51" s="624" t="s">
        <v>25</v>
      </c>
      <c r="C51" s="747">
        <f>WYDATKI!E214</f>
        <v>9684588</v>
      </c>
      <c r="D51" s="625">
        <f>WYDATKI!F214</f>
        <v>9172588</v>
      </c>
      <c r="E51" s="626">
        <f>WYDATKI!E214</f>
        <v>9684588</v>
      </c>
      <c r="F51" s="533">
        <f>WYDATKI!F214</f>
        <v>9172588</v>
      </c>
      <c r="G51" s="743">
        <f>F51*100/E51</f>
        <v>94.7132495465992</v>
      </c>
      <c r="H51" s="628"/>
      <c r="I51" s="629"/>
      <c r="J51" s="630"/>
      <c r="K51" s="628"/>
      <c r="L51" s="629"/>
      <c r="M51" s="630"/>
      <c r="N51" s="623">
        <f t="shared" si="2"/>
        <v>758</v>
      </c>
      <c r="O51" s="628"/>
      <c r="P51" s="629"/>
      <c r="Q51" s="629"/>
      <c r="R51" s="631"/>
      <c r="S51" s="632"/>
      <c r="T51" s="633"/>
      <c r="U51" s="631"/>
      <c r="V51" s="632"/>
      <c r="W51" s="632"/>
      <c r="X51" s="635"/>
      <c r="Y51" s="633"/>
      <c r="Z51" s="633"/>
      <c r="AA51" s="636">
        <f t="shared" si="1"/>
        <v>758</v>
      </c>
      <c r="AB51" s="631"/>
      <c r="AC51" s="632" t="s">
        <v>98</v>
      </c>
      <c r="AD51" s="634"/>
      <c r="AE51" s="543"/>
      <c r="AF51" s="544"/>
      <c r="AG51" s="544"/>
      <c r="AH51" s="544"/>
      <c r="AI51" s="544"/>
      <c r="AJ51" s="544"/>
      <c r="AK51" s="685"/>
      <c r="AL51" s="13"/>
      <c r="AM51" s="14"/>
    </row>
    <row r="52" spans="1:39" ht="18.75" customHeight="1" hidden="1">
      <c r="A52" s="669">
        <v>75818</v>
      </c>
      <c r="B52" s="670" t="s">
        <v>257</v>
      </c>
      <c r="C52" s="671"/>
      <c r="D52" s="672"/>
      <c r="E52" s="567">
        <f>WYDATKI!E215</f>
        <v>512000</v>
      </c>
      <c r="F52" s="567"/>
      <c r="G52" s="567"/>
      <c r="H52" s="587"/>
      <c r="I52" s="588"/>
      <c r="J52" s="589"/>
      <c r="K52" s="587"/>
      <c r="L52" s="588"/>
      <c r="M52" s="589"/>
      <c r="N52" s="669">
        <f t="shared" si="2"/>
        <v>75818</v>
      </c>
      <c r="O52" s="587"/>
      <c r="P52" s="588"/>
      <c r="Q52" s="588"/>
      <c r="R52" s="590"/>
      <c r="S52" s="591"/>
      <c r="T52" s="592"/>
      <c r="U52" s="590"/>
      <c r="V52" s="591"/>
      <c r="W52" s="591"/>
      <c r="X52" s="708"/>
      <c r="Y52" s="592"/>
      <c r="Z52" s="592"/>
      <c r="AA52" s="683">
        <f t="shared" si="1"/>
        <v>75818</v>
      </c>
      <c r="AB52" s="590"/>
      <c r="AC52" s="591"/>
      <c r="AD52" s="598"/>
      <c r="AE52" s="599"/>
      <c r="AF52" s="600"/>
      <c r="AG52" s="600"/>
      <c r="AH52" s="600"/>
      <c r="AI52" s="600"/>
      <c r="AJ52" s="600"/>
      <c r="AK52" s="685"/>
      <c r="AL52" s="13"/>
      <c r="AM52" s="14"/>
    </row>
    <row r="53" spans="1:39" ht="27.75" customHeight="1" hidden="1">
      <c r="A53" s="722">
        <v>75831</v>
      </c>
      <c r="B53" s="602" t="str">
        <f>WYDATKI!D217</f>
        <v>Część równoważąca subwencji ogólnej dla gmin</v>
      </c>
      <c r="C53" s="753"/>
      <c r="D53" s="754"/>
      <c r="E53" s="567">
        <f>WYDATKI!H217</f>
        <v>9172588</v>
      </c>
      <c r="F53" s="696">
        <f>WYDATKI!I217</f>
        <v>9172588</v>
      </c>
      <c r="G53" s="568">
        <f>WYDATKI!J217</f>
        <v>100</v>
      </c>
      <c r="H53" s="755"/>
      <c r="I53" s="756"/>
      <c r="J53" s="757"/>
      <c r="K53" s="755"/>
      <c r="L53" s="756"/>
      <c r="M53" s="757"/>
      <c r="N53" s="722">
        <f t="shared" si="2"/>
        <v>75831</v>
      </c>
      <c r="O53" s="755"/>
      <c r="P53" s="756"/>
      <c r="Q53" s="756"/>
      <c r="R53" s="758"/>
      <c r="S53" s="759"/>
      <c r="T53" s="760"/>
      <c r="U53" s="758"/>
      <c r="V53" s="759"/>
      <c r="W53" s="759"/>
      <c r="X53" s="761"/>
      <c r="Y53" s="760"/>
      <c r="Z53" s="760"/>
      <c r="AA53" s="723">
        <f t="shared" si="1"/>
        <v>75831</v>
      </c>
      <c r="AB53" s="758"/>
      <c r="AC53" s="759"/>
      <c r="AD53" s="762"/>
      <c r="AE53" s="599"/>
      <c r="AF53" s="600"/>
      <c r="AG53" s="600"/>
      <c r="AH53" s="600"/>
      <c r="AI53" s="600"/>
      <c r="AJ53" s="600"/>
      <c r="AK53" s="685"/>
      <c r="AL53" s="13"/>
      <c r="AM53" s="14"/>
    </row>
    <row r="54" spans="1:39" ht="14.25" customHeight="1">
      <c r="A54" s="623">
        <v>801</v>
      </c>
      <c r="B54" s="624" t="s">
        <v>26</v>
      </c>
      <c r="C54" s="747">
        <f>WYDATKI!E219</f>
        <v>92486868</v>
      </c>
      <c r="D54" s="625">
        <f>WYDATKI!F219</f>
        <v>90366909.99</v>
      </c>
      <c r="E54" s="626">
        <f>WYDATKI!H219</f>
        <v>88166064</v>
      </c>
      <c r="F54" s="533">
        <f>WYDATKI!I219</f>
        <v>86415019.13000001</v>
      </c>
      <c r="G54" s="743">
        <f>F54*100/E54</f>
        <v>98.01392418969732</v>
      </c>
      <c r="H54" s="628">
        <f>SUM(H55:H67)</f>
        <v>49411915</v>
      </c>
      <c r="I54" s="629">
        <f>SUM(I55:I67)</f>
        <v>49054193.15</v>
      </c>
      <c r="J54" s="697">
        <f>I54*100/H54</f>
        <v>99.27604131513624</v>
      </c>
      <c r="K54" s="628">
        <f>SUM(K55:K64)</f>
        <v>79926</v>
      </c>
      <c r="L54" s="629">
        <f>SUM(L55:L64)</f>
        <v>41816.65</v>
      </c>
      <c r="M54" s="697">
        <f>L54*100/K54</f>
        <v>52.31920776718464</v>
      </c>
      <c r="N54" s="623">
        <f t="shared" si="2"/>
        <v>801</v>
      </c>
      <c r="O54" s="628">
        <f>SUM(O55:O66)</f>
        <v>22715066</v>
      </c>
      <c r="P54" s="629">
        <f>SUM(P55:P66)</f>
        <v>22344199.320000004</v>
      </c>
      <c r="Q54" s="629">
        <f aca="true" t="shared" si="7" ref="Q54:Q59">P54*100/O54</f>
        <v>98.36730969656881</v>
      </c>
      <c r="R54" s="698">
        <f>SUM(R55:R67)</f>
        <v>1910632</v>
      </c>
      <c r="S54" s="699">
        <f>SUM(S55:S67)</f>
        <v>1784851.06</v>
      </c>
      <c r="T54" s="633">
        <f>S54*100/R54</f>
        <v>93.41678879030603</v>
      </c>
      <c r="U54" s="631"/>
      <c r="V54" s="632"/>
      <c r="W54" s="632"/>
      <c r="X54" s="635">
        <f>X66</f>
        <v>494626</v>
      </c>
      <c r="Y54" s="633">
        <f>Y66</f>
        <v>472260.14</v>
      </c>
      <c r="Z54" s="633">
        <f>Y54*100/X54</f>
        <v>95.47822799448473</v>
      </c>
      <c r="AA54" s="636">
        <f t="shared" si="1"/>
        <v>801</v>
      </c>
      <c r="AB54" s="631"/>
      <c r="AC54" s="632"/>
      <c r="AD54" s="632"/>
      <c r="AE54" s="543"/>
      <c r="AF54" s="544"/>
      <c r="AG54" s="544"/>
      <c r="AH54" s="544"/>
      <c r="AI54" s="544"/>
      <c r="AJ54" s="544"/>
      <c r="AK54" s="685"/>
      <c r="AL54" s="13"/>
      <c r="AM54" s="14"/>
    </row>
    <row r="55" spans="1:39" ht="15.75" customHeight="1" hidden="1">
      <c r="A55" s="564">
        <v>80101</v>
      </c>
      <c r="B55" s="547" t="str">
        <f>WYDATKI!D220</f>
        <v>Szkoły podstawowe </v>
      </c>
      <c r="C55" s="658"/>
      <c r="D55" s="659"/>
      <c r="E55" s="567">
        <f>WYDATKI!H220+WYDATKI!H248+WYDATKI!H254+WYDATKI!H264+WYDATKI!H271+WYDATKI!H279+WYDATKI!H286+WYDATKI!H294+WYDATKI!H302+WYDATKI!H314+WYDATKI!H320</f>
        <v>42132001</v>
      </c>
      <c r="F55" s="568">
        <f>WYDATKI!I220+WYDATKI!I248+WYDATKI!I254+WYDATKI!I264+WYDATKI!I271+WYDATKI!I279+WYDATKI!I286+WYDATKI!I294+WYDATKI!I302+WYDATKI!I314+WYDATKI!I320</f>
        <v>41253789.210000016</v>
      </c>
      <c r="G55" s="568">
        <f>WYDATKI!J220</f>
        <v>98.69735366258404</v>
      </c>
      <c r="H55" s="556">
        <f>WYDATKI!E224+WYDATKI!E225+WYDATKI!E226+WYDATKI!E227+WYDATKI!E229+WYDATKI!E249+WYDATKI!E250+WYDATKI!E251+WYDATKI!E255+WYDATKI!E256+WYDATKI!E257+WYDATKI!E265+WYDATKI!E266+WYDATKI!E267+WYDATKI!E272+WYDATKI!E273+WYDATKI!E274+WYDATKI!E280+WYDATKI!E281+WYDATKI!E282+WYDATKI!E287+WYDATKI!E288+WYDATKI!E289+WYDATKI!E295+WYDATKI!E296+WYDATKI!E297+WYDATKI!E303+WYDATKI!E304+WYDATKI!E305+WYDATKI!E306+WYDATKI!E307+WYDATKI!E308+WYDATKI!E315+WYDATKI!E316+WYDATKI!E317+WYDATKI!E321+WYDATKI!E322+WYDATKI!E323</f>
        <v>28992703</v>
      </c>
      <c r="I55" s="557">
        <f>WYDATKI!F224+WYDATKI!F225+WYDATKI!F226+WYDATKI!F227+WYDATKI!F229+WYDATKI!F249+WYDATKI!F250+WYDATKI!F251+WYDATKI!F255+WYDATKI!F256+WYDATKI!F257+WYDATKI!F265+WYDATKI!F266+WYDATKI!F267+WYDATKI!F272+WYDATKI!F273+WYDATKI!F274+WYDATKI!F280+WYDATKI!F281+WYDATKI!F282+WYDATKI!F287+WYDATKI!F288+WYDATKI!F289+WYDATKI!F295+WYDATKI!F296+WYDATKI!F297+WYDATKI!F303+WYDATKI!F304+WYDATKI!F305+WYDATKI!F306+WYDATKI!F307+WYDATKI!F308+WYDATKI!F315+WYDATKI!F316+WYDATKI!F317+WYDATKI!F321+WYDATKI!F322+WYDATKI!F323</f>
        <v>28805231.560000002</v>
      </c>
      <c r="J55" s="704">
        <f>I55*100/H55</f>
        <v>99.35338405667109</v>
      </c>
      <c r="K55" s="556">
        <f>WYDATKI!E249+WYDATKI!E250+WYDATKI!E251+WYDATKI!E255+WYDATKI!E256+WYDATKI!E257+WYDATKI!E265+WYDATKI!E266+WYDATKI!E267+WYDATKI!E272+WYDATKI!E273+WYDATKI!E274+WYDATKI!E280+WYDATKI!E281+WYDATKI!E282+WYDATKI!E287+WYDATKI!E288+WYDATKI!E289+WYDATKI!E295+WYDATKI!E296+WYDATKI!E297+WYDATKI!E303+WYDATKI!E304+WYDATKI!E305+WYDATKI!E306+WYDATKI!E307+WYDATKI!E308+WYDATKI!E315+WYDATKI!E316+WYDATKI!E317+WYDATKI!E321+WYDATKI!E322+WYDATKI!E323</f>
        <v>79926</v>
      </c>
      <c r="L55" s="557">
        <f>WYDATKI!F249+WYDATKI!F250+WYDATKI!F251+WYDATKI!F255+WYDATKI!F256+WYDATKI!F257+WYDATKI!F265+WYDATKI!F266+WYDATKI!F267+WYDATKI!F272+WYDATKI!F273+WYDATKI!F274+WYDATKI!F280+WYDATKI!F281+WYDATKI!F282+WYDATKI!F287+WYDATKI!F288+WYDATKI!F289+WYDATKI!F295+WYDATKI!F296+WYDATKI!F297+WYDATKI!F303+WYDATKI!F304+WYDATKI!F305+WYDATKI!F306+WYDATKI!F307+WYDATKI!F308+WYDATKI!F315+WYDATKI!F316+WYDATKI!F317+WYDATKI!F321+WYDATKI!F322+WYDATKI!F323</f>
        <v>41816.65</v>
      </c>
      <c r="M55" s="704">
        <f>L55*100/K55</f>
        <v>52.31920776718464</v>
      </c>
      <c r="N55" s="564">
        <f t="shared" si="2"/>
        <v>80101</v>
      </c>
      <c r="O55" s="556">
        <f>WYDATKI!E221+WYDATKI!E222</f>
        <v>4280000</v>
      </c>
      <c r="P55" s="557">
        <f>WYDATKI!F221+WYDATKI!F222</f>
        <v>4277349.11</v>
      </c>
      <c r="Q55" s="557">
        <f t="shared" si="7"/>
        <v>99.93806331775703</v>
      </c>
      <c r="R55" s="688">
        <f>WYDATKI!H223</f>
        <v>1214000</v>
      </c>
      <c r="S55" s="689">
        <f>WYDATKI!I223</f>
        <v>1127139.76</v>
      </c>
      <c r="T55" s="690">
        <f aca="true" t="shared" si="8" ref="T55:T62">S55*100/R55</f>
        <v>92.84512026359144</v>
      </c>
      <c r="U55" s="691"/>
      <c r="V55" s="692"/>
      <c r="W55" s="692"/>
      <c r="X55" s="694"/>
      <c r="Y55" s="690"/>
      <c r="Z55" s="690"/>
      <c r="AA55" s="664">
        <f t="shared" si="1"/>
        <v>80101</v>
      </c>
      <c r="AB55" s="691"/>
      <c r="AC55" s="692"/>
      <c r="AD55" s="693"/>
      <c r="AE55" s="599"/>
      <c r="AF55" s="600"/>
      <c r="AG55" s="600"/>
      <c r="AH55" s="600"/>
      <c r="AI55" s="600"/>
      <c r="AJ55" s="600"/>
      <c r="AK55" s="685"/>
      <c r="AL55" s="13"/>
      <c r="AM55" s="14"/>
    </row>
    <row r="56" spans="1:39" ht="24" customHeight="1" hidden="1">
      <c r="A56" s="669">
        <v>80103</v>
      </c>
      <c r="B56" s="670" t="str">
        <f>WYDATKI!D325</f>
        <v>Oddziały przedszkolne w szkołach podstawowych</v>
      </c>
      <c r="C56" s="671"/>
      <c r="D56" s="672"/>
      <c r="E56" s="567">
        <f>WYDATKI!H325</f>
        <v>2800277</v>
      </c>
      <c r="F56" s="696">
        <f>WYDATKI!I325</f>
        <v>2744060.9</v>
      </c>
      <c r="G56" s="568">
        <f>WYDATKI!J325</f>
        <v>97.99248074386927</v>
      </c>
      <c r="H56" s="587">
        <f>SUM(WYDATKI!E329:E333)</f>
        <v>2173950</v>
      </c>
      <c r="I56" s="588">
        <f>SUM(WYDATKI!F329:F333)</f>
        <v>2149444.11</v>
      </c>
      <c r="J56" s="705">
        <f aca="true" t="shared" si="9" ref="J56:J62">I56*100/H56</f>
        <v>98.8727482232802</v>
      </c>
      <c r="K56" s="587"/>
      <c r="L56" s="588"/>
      <c r="M56" s="705"/>
      <c r="N56" s="669">
        <f t="shared" si="2"/>
        <v>80103</v>
      </c>
      <c r="O56" s="587">
        <f>WYDATKI!E326+WYDATKI!E327</f>
        <v>284000</v>
      </c>
      <c r="P56" s="588">
        <f>WYDATKI!F326+WYDATKI!F327</f>
        <v>278833.56</v>
      </c>
      <c r="Q56" s="588">
        <f t="shared" si="7"/>
        <v>98.18083098591549</v>
      </c>
      <c r="R56" s="706">
        <f>WYDATKI!H328</f>
        <v>93000</v>
      </c>
      <c r="S56" s="707">
        <f>WYDATKI!I328</f>
        <v>82609.47</v>
      </c>
      <c r="T56" s="592">
        <f t="shared" si="8"/>
        <v>88.82738709677419</v>
      </c>
      <c r="U56" s="590"/>
      <c r="V56" s="591"/>
      <c r="W56" s="591"/>
      <c r="X56" s="708"/>
      <c r="Y56" s="592"/>
      <c r="Z56" s="592"/>
      <c r="AA56" s="683">
        <f t="shared" si="1"/>
        <v>80103</v>
      </c>
      <c r="AB56" s="590">
        <f>WYDATKI!E326</f>
        <v>4000</v>
      </c>
      <c r="AC56" s="591">
        <f>WYDATKI!F326</f>
        <v>0</v>
      </c>
      <c r="AD56" s="590">
        <f>WYDATKI!G326</f>
        <v>0</v>
      </c>
      <c r="AE56" s="599"/>
      <c r="AF56" s="600"/>
      <c r="AG56" s="600"/>
      <c r="AH56" s="600"/>
      <c r="AI56" s="600"/>
      <c r="AJ56" s="600"/>
      <c r="AK56" s="685"/>
      <c r="AL56" s="13"/>
      <c r="AM56" s="14"/>
    </row>
    <row r="57" spans="1:39" ht="15.75" customHeight="1" hidden="1">
      <c r="A57" s="669">
        <v>80104</v>
      </c>
      <c r="B57" s="670" t="str">
        <f>WYDATKI!D344</f>
        <v>Przedszkola  </v>
      </c>
      <c r="C57" s="671"/>
      <c r="D57" s="672"/>
      <c r="E57" s="567">
        <f>WYDATKI!H344</f>
        <v>20864574</v>
      </c>
      <c r="F57" s="567">
        <f>WYDATKI!I344</f>
        <v>20340854.18</v>
      </c>
      <c r="G57" s="568">
        <f>F57*100/E57</f>
        <v>97.48990887616493</v>
      </c>
      <c r="H57" s="587">
        <f>WYDATKI!H349+WYDATKI!H350+WYDATKI!H351+WYDATKI!H352+WYDATKI!H353</f>
        <v>5054640</v>
      </c>
      <c r="I57" s="588">
        <f>WYDATKI!I349+WYDATKI!I350+WYDATKI!I351+WYDATKI!I352+WYDATKI!I353</f>
        <v>4978705.640000001</v>
      </c>
      <c r="J57" s="705">
        <f t="shared" si="9"/>
        <v>98.49772961081305</v>
      </c>
      <c r="K57" s="587"/>
      <c r="L57" s="587"/>
      <c r="M57" s="705"/>
      <c r="N57" s="669">
        <f t="shared" si="2"/>
        <v>80104</v>
      </c>
      <c r="O57" s="587">
        <f>WYDATKI!E345+WYDATKI!E346+WYDATKI!E347</f>
        <v>14219981</v>
      </c>
      <c r="P57" s="588">
        <f>WYDATKI!F345+WYDATKI!F346+WYDATKI!F347</f>
        <v>13915929.86</v>
      </c>
      <c r="Q57" s="588">
        <f t="shared" si="7"/>
        <v>97.8618034721706</v>
      </c>
      <c r="R57" s="706">
        <f>WYDATKI!E348</f>
        <v>145950</v>
      </c>
      <c r="S57" s="707">
        <f>WYDATKI!F348</f>
        <v>138002.1</v>
      </c>
      <c r="T57" s="592">
        <f t="shared" si="8"/>
        <v>94.55436793422405</v>
      </c>
      <c r="U57" s="590"/>
      <c r="V57" s="591"/>
      <c r="W57" s="591"/>
      <c r="X57" s="708"/>
      <c r="Y57" s="592"/>
      <c r="Z57" s="592"/>
      <c r="AA57" s="683">
        <f t="shared" si="1"/>
        <v>80104</v>
      </c>
      <c r="AB57" s="590">
        <f>WYDATKI!E345</f>
        <v>1659000</v>
      </c>
      <c r="AC57" s="591">
        <f>WYDATKI!F345</f>
        <v>1443619.34</v>
      </c>
      <c r="AD57" s="591">
        <f>WYDATKI!G345</f>
        <v>87.01744062688367</v>
      </c>
      <c r="AE57" s="599"/>
      <c r="AF57" s="600"/>
      <c r="AG57" s="600"/>
      <c r="AH57" s="600"/>
      <c r="AI57" s="600"/>
      <c r="AJ57" s="600"/>
      <c r="AK57" s="685"/>
      <c r="AL57" s="13"/>
      <c r="AM57" s="14"/>
    </row>
    <row r="58" spans="1:39" ht="15.75" customHeight="1" hidden="1">
      <c r="A58" s="669">
        <v>80106</v>
      </c>
      <c r="B58" s="670" t="s">
        <v>181</v>
      </c>
      <c r="C58" s="671"/>
      <c r="D58" s="672"/>
      <c r="E58" s="567">
        <f>WYDATKI!E369</f>
        <v>329010</v>
      </c>
      <c r="F58" s="568">
        <f>WYDATKI!F369</f>
        <v>300981.78</v>
      </c>
      <c r="G58" s="568">
        <f aca="true" t="shared" si="10" ref="G58:G67">F58*100/E58</f>
        <v>91.48104312938817</v>
      </c>
      <c r="H58" s="587"/>
      <c r="I58" s="588"/>
      <c r="J58" s="705"/>
      <c r="K58" s="587"/>
      <c r="L58" s="588"/>
      <c r="M58" s="705"/>
      <c r="N58" s="669">
        <f t="shared" si="2"/>
        <v>80106</v>
      </c>
      <c r="O58" s="587">
        <f>WYDATKI!E370+WYDATKI!E371</f>
        <v>329010</v>
      </c>
      <c r="P58" s="588">
        <f>WYDATKI!F370+WYDATKI!F371</f>
        <v>300981.78</v>
      </c>
      <c r="Q58" s="588">
        <f t="shared" si="7"/>
        <v>91.48104312938817</v>
      </c>
      <c r="R58" s="706"/>
      <c r="S58" s="707"/>
      <c r="T58" s="592"/>
      <c r="U58" s="590"/>
      <c r="V58" s="591"/>
      <c r="W58" s="591"/>
      <c r="X58" s="708"/>
      <c r="Y58" s="592"/>
      <c r="Z58" s="592"/>
      <c r="AA58" s="683">
        <f t="shared" si="1"/>
        <v>80106</v>
      </c>
      <c r="AB58" s="590">
        <f>WYDATKI!E370</f>
        <v>8000</v>
      </c>
      <c r="AC58" s="591">
        <f>WYDATKI!F370</f>
        <v>8000</v>
      </c>
      <c r="AD58" s="591">
        <f>WYDATKI!G370</f>
        <v>100</v>
      </c>
      <c r="AE58" s="599"/>
      <c r="AF58" s="600"/>
      <c r="AG58" s="600"/>
      <c r="AH58" s="600"/>
      <c r="AI58" s="600"/>
      <c r="AJ58" s="600"/>
      <c r="AK58" s="685"/>
      <c r="AL58" s="13"/>
      <c r="AM58" s="14"/>
    </row>
    <row r="59" spans="1:39" ht="15.75" customHeight="1" hidden="1">
      <c r="A59" s="722">
        <v>80110</v>
      </c>
      <c r="B59" s="764" t="str">
        <f>WYDATKI!D372</f>
        <v>Gimnazja </v>
      </c>
      <c r="C59" s="753"/>
      <c r="D59" s="754"/>
      <c r="E59" s="567">
        <f>WYDATKI!E372</f>
        <v>8583952</v>
      </c>
      <c r="F59" s="568">
        <f>WYDATKI!F372</f>
        <v>8507760.54</v>
      </c>
      <c r="G59" s="568">
        <f t="shared" si="10"/>
        <v>99.11239648124779</v>
      </c>
      <c r="H59" s="755">
        <f>SUM(WYDATKI!H375:H379)</f>
        <v>7246500</v>
      </c>
      <c r="I59" s="756">
        <f>SUM(WYDATKI!I375:I379)</f>
        <v>7217016.340000001</v>
      </c>
      <c r="J59" s="765">
        <f>I59*100/H59</f>
        <v>99.59313240874907</v>
      </c>
      <c r="K59" s="755"/>
      <c r="L59" s="756"/>
      <c r="M59" s="705"/>
      <c r="N59" s="722">
        <f t="shared" si="2"/>
        <v>80110</v>
      </c>
      <c r="O59" s="587">
        <f>WYDATKI!E373</f>
        <v>92000</v>
      </c>
      <c r="P59" s="588">
        <f>WYDATKI!F373</f>
        <v>86309.68</v>
      </c>
      <c r="Q59" s="588">
        <f t="shared" si="7"/>
        <v>93.81486956521739</v>
      </c>
      <c r="R59" s="706">
        <f>WYDATKI!E374</f>
        <v>290132</v>
      </c>
      <c r="S59" s="707">
        <f>WYDATKI!F374</f>
        <v>286727.46</v>
      </c>
      <c r="T59" s="592">
        <f t="shared" si="8"/>
        <v>98.82655480953498</v>
      </c>
      <c r="U59" s="590"/>
      <c r="V59" s="591"/>
      <c r="W59" s="591"/>
      <c r="X59" s="708"/>
      <c r="Y59" s="592"/>
      <c r="Z59" s="592"/>
      <c r="AA59" s="723">
        <f t="shared" si="1"/>
        <v>80110</v>
      </c>
      <c r="AB59" s="590"/>
      <c r="AC59" s="591"/>
      <c r="AD59" s="598"/>
      <c r="AE59" s="599"/>
      <c r="AF59" s="600"/>
      <c r="AG59" s="600"/>
      <c r="AH59" s="600"/>
      <c r="AI59" s="600"/>
      <c r="AJ59" s="600"/>
      <c r="AK59" s="545"/>
      <c r="AL59" s="299"/>
      <c r="AM59" s="14"/>
    </row>
    <row r="60" spans="1:39" ht="15.75" customHeight="1" hidden="1">
      <c r="A60" s="669">
        <v>80113</v>
      </c>
      <c r="B60" s="670" t="str">
        <f>WYDATKI!D393</f>
        <v>Dowożenie uczniów do szkół </v>
      </c>
      <c r="C60" s="671"/>
      <c r="D60" s="672"/>
      <c r="E60" s="567">
        <f>WYDATKI!E393</f>
        <v>2702865</v>
      </c>
      <c r="F60" s="568">
        <f>WYDATKI!F393</f>
        <v>2675480.1799999997</v>
      </c>
      <c r="G60" s="568">
        <f t="shared" si="10"/>
        <v>98.98682250130878</v>
      </c>
      <c r="H60" s="587">
        <f>WYDATKI!E395+WYDATKI!E396+WYDATKI!E397+WYDATKI!E394</f>
        <v>251500</v>
      </c>
      <c r="I60" s="588">
        <f>WYDATKI!F395+WYDATKI!F396+WYDATKI!F397+WYDATKI!F394</f>
        <v>242650.21999999997</v>
      </c>
      <c r="J60" s="765">
        <f>I60*100/H60</f>
        <v>96.48120079522862</v>
      </c>
      <c r="K60" s="587"/>
      <c r="L60" s="588"/>
      <c r="M60" s="705"/>
      <c r="N60" s="669">
        <f t="shared" si="2"/>
        <v>80113</v>
      </c>
      <c r="O60" s="587"/>
      <c r="P60" s="588"/>
      <c r="Q60" s="588"/>
      <c r="R60" s="706"/>
      <c r="S60" s="707"/>
      <c r="T60" s="592"/>
      <c r="U60" s="590"/>
      <c r="V60" s="591"/>
      <c r="W60" s="591"/>
      <c r="X60" s="708"/>
      <c r="Y60" s="592"/>
      <c r="Z60" s="592"/>
      <c r="AA60" s="683">
        <f t="shared" si="1"/>
        <v>80113</v>
      </c>
      <c r="AB60" s="590"/>
      <c r="AC60" s="591"/>
      <c r="AD60" s="598"/>
      <c r="AE60" s="599"/>
      <c r="AF60" s="600"/>
      <c r="AG60" s="600"/>
      <c r="AH60" s="600"/>
      <c r="AI60" s="600"/>
      <c r="AJ60" s="600"/>
      <c r="AK60" s="545"/>
      <c r="AL60" s="299"/>
      <c r="AM60" s="14"/>
    </row>
    <row r="61" spans="1:39" ht="15.75" customHeight="1" hidden="1">
      <c r="A61" s="669">
        <v>80146</v>
      </c>
      <c r="B61" s="670" t="str">
        <f>WYDATKI!D400</f>
        <v>Dokształcanie i doskonalenie nauczycieli </v>
      </c>
      <c r="C61" s="671"/>
      <c r="D61" s="672"/>
      <c r="E61" s="567">
        <f>WYDATKI!E400</f>
        <v>291200</v>
      </c>
      <c r="F61" s="568">
        <f>WYDATKI!I400</f>
        <v>261297.83000000002</v>
      </c>
      <c r="G61" s="568">
        <f t="shared" si="10"/>
        <v>89.73139766483517</v>
      </c>
      <c r="H61" s="587"/>
      <c r="I61" s="588"/>
      <c r="J61" s="705"/>
      <c r="K61" s="587"/>
      <c r="L61" s="588"/>
      <c r="M61" s="705"/>
      <c r="N61" s="669">
        <f t="shared" si="2"/>
        <v>80146</v>
      </c>
      <c r="O61" s="587"/>
      <c r="P61" s="588"/>
      <c r="Q61" s="588"/>
      <c r="R61" s="706"/>
      <c r="S61" s="707"/>
      <c r="T61" s="592"/>
      <c r="U61" s="590"/>
      <c r="V61" s="591"/>
      <c r="W61" s="591"/>
      <c r="X61" s="708"/>
      <c r="Y61" s="592"/>
      <c r="Z61" s="592"/>
      <c r="AA61" s="683">
        <f t="shared" si="1"/>
        <v>80146</v>
      </c>
      <c r="AB61" s="590"/>
      <c r="AC61" s="591"/>
      <c r="AD61" s="598"/>
      <c r="AE61" s="599"/>
      <c r="AF61" s="600"/>
      <c r="AG61" s="600"/>
      <c r="AH61" s="600"/>
      <c r="AI61" s="600"/>
      <c r="AJ61" s="600"/>
      <c r="AK61" s="545"/>
      <c r="AL61" s="299"/>
      <c r="AM61" s="14"/>
    </row>
    <row r="62" spans="1:39" ht="15.75" customHeight="1" hidden="1">
      <c r="A62" s="669">
        <v>80148</v>
      </c>
      <c r="B62" s="670" t="str">
        <f>WYDATKI!D403</f>
        <v>Stołówki szkolne</v>
      </c>
      <c r="C62" s="671"/>
      <c r="D62" s="672"/>
      <c r="E62" s="668">
        <f>WYDATKI!H403</f>
        <v>3753525</v>
      </c>
      <c r="F62" s="568">
        <f>WYDATKI!I403</f>
        <v>3701838.9399999995</v>
      </c>
      <c r="G62" s="568">
        <f t="shared" si="10"/>
        <v>98.6229994471863</v>
      </c>
      <c r="H62" s="587">
        <f>SUM(WYDATKI!H405:H409)</f>
        <v>3314200</v>
      </c>
      <c r="I62" s="588">
        <f>SUM(WYDATKI!I405:I409)</f>
        <v>3290631.06</v>
      </c>
      <c r="J62" s="705">
        <f t="shared" si="9"/>
        <v>99.2888497978396</v>
      </c>
      <c r="K62" s="587"/>
      <c r="L62" s="588"/>
      <c r="M62" s="705"/>
      <c r="N62" s="669">
        <f t="shared" si="2"/>
        <v>80148</v>
      </c>
      <c r="O62" s="587"/>
      <c r="P62" s="588"/>
      <c r="Q62" s="588"/>
      <c r="R62" s="706">
        <f>WYDATKI!H404</f>
        <v>18950</v>
      </c>
      <c r="S62" s="707">
        <f>WYDATKI!I404</f>
        <v>15598.02</v>
      </c>
      <c r="T62" s="592">
        <f t="shared" si="8"/>
        <v>82.3114511873351</v>
      </c>
      <c r="U62" s="590"/>
      <c r="V62" s="591"/>
      <c r="W62" s="591"/>
      <c r="X62" s="708"/>
      <c r="Y62" s="592"/>
      <c r="Z62" s="592"/>
      <c r="AA62" s="683">
        <f t="shared" si="1"/>
        <v>80148</v>
      </c>
      <c r="AB62" s="590"/>
      <c r="AC62" s="591"/>
      <c r="AD62" s="598"/>
      <c r="AE62" s="599"/>
      <c r="AF62" s="600"/>
      <c r="AG62" s="600"/>
      <c r="AH62" s="600"/>
      <c r="AI62" s="600"/>
      <c r="AJ62" s="600"/>
      <c r="AK62" s="545"/>
      <c r="AL62" s="299"/>
      <c r="AM62" s="14"/>
    </row>
    <row r="63" spans="1:39" ht="60.75" customHeight="1" hidden="1">
      <c r="A63" s="669">
        <v>80149</v>
      </c>
      <c r="B63" s="670" t="str">
        <f>WYDATKI!D420</f>
        <v>Realizacja zadań wymagających stosowania specjalnej organizacji nauki i metod pracy dla dzieci w przedszkolach, oddziałach przedszkolnych w szkołach podstawowych i innych formach wychowania przedszkolnego</v>
      </c>
      <c r="C63" s="671"/>
      <c r="D63" s="672"/>
      <c r="E63" s="567">
        <f>WYDATKI!E420</f>
        <v>1582213</v>
      </c>
      <c r="F63" s="568">
        <f>WYDATKI!I420</f>
        <v>1567169.21</v>
      </c>
      <c r="G63" s="568">
        <f t="shared" si="10"/>
        <v>99.04919312380824</v>
      </c>
      <c r="H63" s="587">
        <f>SUM(WYDATKI!H424:H428)</f>
        <v>44070</v>
      </c>
      <c r="I63" s="588">
        <f>SUM(WYDATKI!I424:I428)</f>
        <v>40287.05</v>
      </c>
      <c r="J63" s="705">
        <f aca="true" t="shared" si="11" ref="J63:J68">I63*100/H63</f>
        <v>91.4160426594055</v>
      </c>
      <c r="K63" s="587"/>
      <c r="L63" s="588"/>
      <c r="M63" s="705"/>
      <c r="N63" s="669">
        <f t="shared" si="2"/>
        <v>80149</v>
      </c>
      <c r="O63" s="587">
        <f>WYDATKI!E421+WYDATKI!E422</f>
        <v>1491000</v>
      </c>
      <c r="P63" s="588">
        <f>WYDATKI!F421+WYDATKI!F422</f>
        <v>1489555.7</v>
      </c>
      <c r="Q63" s="588">
        <f>P63*100/O63</f>
        <v>99.90313212608987</v>
      </c>
      <c r="R63" s="706">
        <f>WYDATKI!H423</f>
        <v>8500</v>
      </c>
      <c r="S63" s="707">
        <f>WYDATKI!I423</f>
        <v>2285.25</v>
      </c>
      <c r="T63" s="592">
        <f>S63*100/R63</f>
        <v>26.88529411764706</v>
      </c>
      <c r="U63" s="590"/>
      <c r="V63" s="591"/>
      <c r="W63" s="591"/>
      <c r="X63" s="708"/>
      <c r="Y63" s="592"/>
      <c r="Z63" s="592"/>
      <c r="AA63" s="683">
        <f t="shared" si="1"/>
        <v>80149</v>
      </c>
      <c r="AB63" s="590"/>
      <c r="AC63" s="591"/>
      <c r="AD63" s="598"/>
      <c r="AE63" s="599"/>
      <c r="AF63" s="600"/>
      <c r="AG63" s="600"/>
      <c r="AH63" s="600"/>
      <c r="AI63" s="600"/>
      <c r="AJ63" s="600"/>
      <c r="AK63" s="545"/>
      <c r="AL63" s="299"/>
      <c r="AM63" s="14"/>
    </row>
    <row r="64" spans="1:39" ht="72.75" customHeight="1" hidden="1">
      <c r="A64" s="669">
        <v>80150</v>
      </c>
      <c r="B64" s="670" t="str">
        <f>WYDATKI!D435</f>
        <v>Realizacja zadań wymagających stosowania specjalnej organizacji nauki i metod pracy dla dzieci i młodzieży w szkołach podstawowych, gimnazjach, liceach ogólnokształcących, liceach profilowanych i szkołach zawodowych oraz szkołach artystycznych</v>
      </c>
      <c r="C64" s="671"/>
      <c r="D64" s="672"/>
      <c r="E64" s="567">
        <f>WYDATKI!E435</f>
        <v>4454037</v>
      </c>
      <c r="F64" s="568">
        <f>WYDATKI!I435</f>
        <v>4433949.249999999</v>
      </c>
      <c r="G64" s="568">
        <f t="shared" si="10"/>
        <v>99.54899903166495</v>
      </c>
      <c r="H64" s="587">
        <f>WYDATKI!E439+WYDATKI!E440+WYDATKI!E441+WYDATKI!E442+WYDATKI!E443</f>
        <v>2254000</v>
      </c>
      <c r="I64" s="588">
        <f>SUM(WYDATKI!I439:I443)</f>
        <v>2250842.29</v>
      </c>
      <c r="J64" s="705">
        <f t="shared" si="11"/>
        <v>99.85990638864241</v>
      </c>
      <c r="K64" s="587"/>
      <c r="L64" s="588"/>
      <c r="M64" s="705"/>
      <c r="N64" s="669">
        <f t="shared" si="2"/>
        <v>80150</v>
      </c>
      <c r="O64" s="587">
        <f>WYDATKI!E436+WYDATKI!E437</f>
        <v>1890500</v>
      </c>
      <c r="P64" s="588">
        <f>WYDATKI!F436+WYDATKI!F437</f>
        <v>1887410.33</v>
      </c>
      <c r="Q64" s="588">
        <f>P64*100/O64</f>
        <v>99.83656863263687</v>
      </c>
      <c r="R64" s="706">
        <f>WYDATKI!H438</f>
        <v>132100</v>
      </c>
      <c r="S64" s="707">
        <f>WYDATKI!I438</f>
        <v>129473.45</v>
      </c>
      <c r="T64" s="592">
        <f>S64*100/R64</f>
        <v>98.01169568508706</v>
      </c>
      <c r="U64" s="590"/>
      <c r="V64" s="591"/>
      <c r="W64" s="591"/>
      <c r="X64" s="708"/>
      <c r="Y64" s="592"/>
      <c r="Z64" s="592"/>
      <c r="AA64" s="683">
        <f t="shared" si="1"/>
        <v>80150</v>
      </c>
      <c r="AB64" s="590"/>
      <c r="AC64" s="591"/>
      <c r="AD64" s="598"/>
      <c r="AE64" s="599"/>
      <c r="AF64" s="600"/>
      <c r="AG64" s="600"/>
      <c r="AH64" s="600"/>
      <c r="AI64" s="600"/>
      <c r="AJ64" s="600"/>
      <c r="AK64" s="545"/>
      <c r="AL64" s="299"/>
      <c r="AM64" s="14"/>
    </row>
    <row r="65" spans="1:39" ht="123.75" customHeight="1" hidden="1">
      <c r="A65" s="669">
        <v>80152</v>
      </c>
      <c r="B65" s="670" t="s">
        <v>275</v>
      </c>
      <c r="C65" s="671"/>
      <c r="D65" s="672"/>
      <c r="E65" s="567">
        <f>WYDATKI!H450</f>
        <v>161200</v>
      </c>
      <c r="F65" s="568">
        <f>WYDATKI!I450</f>
        <v>135867.36000000002</v>
      </c>
      <c r="G65" s="568">
        <f t="shared" si="10"/>
        <v>84.28496277915634</v>
      </c>
      <c r="H65" s="587">
        <f>WYDATKI!E453+WYDATKI!E454+WYDATKI!E455</f>
        <v>73200</v>
      </c>
      <c r="I65" s="587">
        <f>WYDATKI!F453+WYDATKI!F454+WYDATKI!F455</f>
        <v>72373.33</v>
      </c>
      <c r="J65" s="705">
        <f t="shared" si="11"/>
        <v>98.8706693989071</v>
      </c>
      <c r="K65" s="587"/>
      <c r="L65" s="588"/>
      <c r="M65" s="705"/>
      <c r="N65" s="669">
        <f t="shared" si="2"/>
        <v>80152</v>
      </c>
      <c r="O65" s="587">
        <f>WYDATKI!E451</f>
        <v>80000</v>
      </c>
      <c r="P65" s="588">
        <f>WYDATKI!F451</f>
        <v>60478.48</v>
      </c>
      <c r="Q65" s="588">
        <f>P65*100/O65</f>
        <v>75.5981</v>
      </c>
      <c r="R65" s="706">
        <f>WYDATKI!E452</f>
        <v>8000</v>
      </c>
      <c r="S65" s="707">
        <f>WYDATKI!F452</f>
        <v>3015.55</v>
      </c>
      <c r="T65" s="592">
        <f>S65*100/R65</f>
        <v>37.694375</v>
      </c>
      <c r="U65" s="590"/>
      <c r="V65" s="591"/>
      <c r="W65" s="591"/>
      <c r="X65" s="708"/>
      <c r="Y65" s="592"/>
      <c r="Z65" s="592"/>
      <c r="AA65" s="683">
        <f t="shared" si="1"/>
        <v>80152</v>
      </c>
      <c r="AB65" s="590"/>
      <c r="AC65" s="591"/>
      <c r="AD65" s="598"/>
      <c r="AE65" s="599"/>
      <c r="AF65" s="766"/>
      <c r="AG65" s="600"/>
      <c r="AH65" s="600"/>
      <c r="AI65" s="600"/>
      <c r="AJ65" s="600"/>
      <c r="AK65" s="545"/>
      <c r="AL65" s="299"/>
      <c r="AM65" s="14"/>
    </row>
    <row r="66" spans="1:42" ht="34.5" customHeight="1" hidden="1">
      <c r="A66" s="565">
        <v>80153</v>
      </c>
      <c r="B66" s="566" t="s">
        <v>276</v>
      </c>
      <c r="C66" s="584"/>
      <c r="D66" s="585"/>
      <c r="E66" s="668">
        <f>WYDATKI!H456</f>
        <v>494626</v>
      </c>
      <c r="F66" s="606">
        <f>WYDATKI!I456</f>
        <v>477723.2</v>
      </c>
      <c r="G66" s="568">
        <f t="shared" si="10"/>
        <v>96.58271097758711</v>
      </c>
      <c r="H66" s="573">
        <f>WYDATKI!E458+WYDATKI!E459+WYDATKI!E460</f>
        <v>4868</v>
      </c>
      <c r="I66" s="573">
        <f>WYDATKI!F458+WYDATKI!F459+WYDATKI!F460</f>
        <v>4765</v>
      </c>
      <c r="J66" s="705">
        <f t="shared" si="11"/>
        <v>97.88414133114215</v>
      </c>
      <c r="K66" s="573"/>
      <c r="L66" s="574"/>
      <c r="M66" s="719"/>
      <c r="N66" s="565">
        <f t="shared" si="2"/>
        <v>80153</v>
      </c>
      <c r="O66" s="573">
        <f>WYDATKI!E457</f>
        <v>48575</v>
      </c>
      <c r="P66" s="574">
        <f>WYDATKI!F457</f>
        <v>47350.82</v>
      </c>
      <c r="Q66" s="588">
        <f>P66*100/O66</f>
        <v>97.47981471950592</v>
      </c>
      <c r="R66" s="662"/>
      <c r="S66" s="663"/>
      <c r="T66" s="596"/>
      <c r="U66" s="593"/>
      <c r="V66" s="597"/>
      <c r="W66" s="597"/>
      <c r="X66" s="595">
        <v>494626</v>
      </c>
      <c r="Y66" s="596">
        <v>472260.14</v>
      </c>
      <c r="Z66" s="596">
        <f>Y66*100/X66</f>
        <v>95.47822799448473</v>
      </c>
      <c r="AA66" s="583">
        <f t="shared" si="1"/>
        <v>80153</v>
      </c>
      <c r="AB66" s="593"/>
      <c r="AC66" s="597"/>
      <c r="AD66" s="594"/>
      <c r="AE66" s="767"/>
      <c r="AF66" s="766"/>
      <c r="AG66" s="766"/>
      <c r="AH66" s="766"/>
      <c r="AI66" s="766"/>
      <c r="AJ66" s="766"/>
      <c r="AK66" s="545"/>
      <c r="AL66" s="299"/>
      <c r="AM66" s="413"/>
      <c r="AP66" s="43"/>
    </row>
    <row r="67" spans="1:39" ht="16.5" customHeight="1" hidden="1">
      <c r="A67" s="601">
        <v>80195</v>
      </c>
      <c r="B67" s="602" t="s">
        <v>6</v>
      </c>
      <c r="C67" s="603"/>
      <c r="D67" s="604"/>
      <c r="E67" s="654">
        <f>WYDATKI!H462</f>
        <v>16584</v>
      </c>
      <c r="F67" s="696">
        <f>WYDATKI!I462</f>
        <v>14246.55</v>
      </c>
      <c r="G67" s="568">
        <f t="shared" si="10"/>
        <v>85.90539073806079</v>
      </c>
      <c r="H67" s="608">
        <f>WYDATKI!E464+WYDATKI!E465</f>
        <v>2284</v>
      </c>
      <c r="I67" s="608">
        <f>WYDATKI!F464+WYDATKI!F465</f>
        <v>2246.55</v>
      </c>
      <c r="J67" s="705">
        <f t="shared" si="11"/>
        <v>98.36033274956219</v>
      </c>
      <c r="K67" s="608"/>
      <c r="L67" s="609"/>
      <c r="M67" s="724"/>
      <c r="N67" s="601">
        <f t="shared" si="2"/>
        <v>80195</v>
      </c>
      <c r="O67" s="608"/>
      <c r="P67" s="609"/>
      <c r="Q67" s="609"/>
      <c r="R67" s="701"/>
      <c r="S67" s="702"/>
      <c r="T67" s="614"/>
      <c r="U67" s="615"/>
      <c r="V67" s="616"/>
      <c r="W67" s="616"/>
      <c r="X67" s="618"/>
      <c r="Y67" s="614"/>
      <c r="Z67" s="614"/>
      <c r="AA67" s="619">
        <f t="shared" si="1"/>
        <v>80195</v>
      </c>
      <c r="AB67" s="615"/>
      <c r="AC67" s="616"/>
      <c r="AD67" s="617"/>
      <c r="AE67" s="599"/>
      <c r="AF67" s="600"/>
      <c r="AG67" s="600"/>
      <c r="AH67" s="600"/>
      <c r="AI67" s="600"/>
      <c r="AJ67" s="600"/>
      <c r="AK67" s="545"/>
      <c r="AL67" s="299"/>
      <c r="AM67" s="14"/>
    </row>
    <row r="68" spans="1:56" s="47" customFormat="1" ht="12" customHeight="1">
      <c r="A68" s="623">
        <v>851</v>
      </c>
      <c r="B68" s="624" t="s">
        <v>84</v>
      </c>
      <c r="C68" s="747">
        <f>WYDATKI!E466</f>
        <v>729857</v>
      </c>
      <c r="D68" s="625">
        <f>WYDATKI!F466</f>
        <v>671034.4500000001</v>
      </c>
      <c r="E68" s="626">
        <f>WYDATKI!E466</f>
        <v>729857</v>
      </c>
      <c r="F68" s="533">
        <f>WYDATKI!F466</f>
        <v>671034.4500000001</v>
      </c>
      <c r="G68" s="743">
        <f>F68*100/E68</f>
        <v>91.94053766696764</v>
      </c>
      <c r="H68" s="628">
        <f>SUM(H69:H71)</f>
        <v>297100</v>
      </c>
      <c r="I68" s="629">
        <f>SUM(I69:I71)</f>
        <v>292156.45999999996</v>
      </c>
      <c r="J68" s="630">
        <f t="shared" si="11"/>
        <v>98.33606866374957</v>
      </c>
      <c r="K68" s="628"/>
      <c r="L68" s="629"/>
      <c r="M68" s="630"/>
      <c r="N68" s="623">
        <f t="shared" si="2"/>
        <v>851</v>
      </c>
      <c r="O68" s="628">
        <f>SUM(O69:O71)</f>
        <v>36000</v>
      </c>
      <c r="P68" s="629">
        <f>SUM(P69:P71)</f>
        <v>36000</v>
      </c>
      <c r="Q68" s="629">
        <f>P68*100/O68</f>
        <v>100</v>
      </c>
      <c r="R68" s="698"/>
      <c r="S68" s="699"/>
      <c r="T68" s="633"/>
      <c r="U68" s="631"/>
      <c r="V68" s="632"/>
      <c r="W68" s="632"/>
      <c r="X68" s="635"/>
      <c r="Y68" s="633"/>
      <c r="Z68" s="633"/>
      <c r="AA68" s="636">
        <f t="shared" si="1"/>
        <v>851</v>
      </c>
      <c r="AB68" s="631"/>
      <c r="AC68" s="632"/>
      <c r="AD68" s="634"/>
      <c r="AE68" s="543"/>
      <c r="AF68" s="544"/>
      <c r="AG68" s="544"/>
      <c r="AH68" s="544"/>
      <c r="AI68" s="544"/>
      <c r="AJ68" s="544"/>
      <c r="AK68" s="545"/>
      <c r="AL68" s="299"/>
      <c r="AM68" s="205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:39" ht="18" customHeight="1" hidden="1">
      <c r="A69" s="564">
        <v>85121</v>
      </c>
      <c r="B69" s="547" t="str">
        <f>WYDATKI!D467</f>
        <v>Lecznictwo ambulatoryjne</v>
      </c>
      <c r="C69" s="658"/>
      <c r="D69" s="659"/>
      <c r="E69" s="550">
        <f>WYDATKI!H467</f>
        <v>82400</v>
      </c>
      <c r="F69" s="551">
        <f>WYDATKI!I467</f>
        <v>52125</v>
      </c>
      <c r="G69" s="744">
        <f>WYDATKI!J467</f>
        <v>63.258495145631066</v>
      </c>
      <c r="H69" s="556"/>
      <c r="I69" s="557"/>
      <c r="J69" s="687"/>
      <c r="K69" s="556"/>
      <c r="L69" s="557"/>
      <c r="M69" s="687"/>
      <c r="N69" s="564">
        <f t="shared" si="2"/>
        <v>85121</v>
      </c>
      <c r="O69" s="556"/>
      <c r="P69" s="557"/>
      <c r="Q69" s="557"/>
      <c r="R69" s="688"/>
      <c r="S69" s="689"/>
      <c r="T69" s="690"/>
      <c r="U69" s="691"/>
      <c r="V69" s="692"/>
      <c r="W69" s="692"/>
      <c r="X69" s="694"/>
      <c r="Y69" s="690"/>
      <c r="Z69" s="690"/>
      <c r="AA69" s="664">
        <f t="shared" si="1"/>
        <v>85121</v>
      </c>
      <c r="AB69" s="691"/>
      <c r="AC69" s="692"/>
      <c r="AD69" s="693"/>
      <c r="AE69" s="599"/>
      <c r="AF69" s="600"/>
      <c r="AG69" s="600"/>
      <c r="AH69" s="600"/>
      <c r="AI69" s="600"/>
      <c r="AJ69" s="600"/>
      <c r="AK69" s="545"/>
      <c r="AL69" s="299"/>
      <c r="AM69" s="14"/>
    </row>
    <row r="70" spans="1:39" ht="18" customHeight="1" hidden="1">
      <c r="A70" s="669">
        <v>85153</v>
      </c>
      <c r="B70" s="670" t="str">
        <f>WYDATKI!D469</f>
        <v>Zwalczanie narkomanii</v>
      </c>
      <c r="C70" s="671"/>
      <c r="D70" s="672"/>
      <c r="E70" s="567">
        <f>WYDATKI!H469</f>
        <v>173500</v>
      </c>
      <c r="F70" s="568">
        <f>WYDATKI!I469</f>
        <v>170190.53999999998</v>
      </c>
      <c r="G70" s="745">
        <f>WYDATKI!J469</f>
        <v>98.09253025936597</v>
      </c>
      <c r="H70" s="587">
        <f>WYDATKI!H470+WYDATKI!H471+WYDATKI!H472</f>
        <v>125600</v>
      </c>
      <c r="I70" s="588">
        <f>WYDATKI!I470+WYDATKI!I471+WYDATKI!I472</f>
        <v>124736.62</v>
      </c>
      <c r="J70" s="705">
        <f>I70*100/H70</f>
        <v>99.31259554140128</v>
      </c>
      <c r="K70" s="587"/>
      <c r="L70" s="588"/>
      <c r="M70" s="705"/>
      <c r="N70" s="669">
        <f t="shared" si="2"/>
        <v>85153</v>
      </c>
      <c r="O70" s="587"/>
      <c r="P70" s="588"/>
      <c r="Q70" s="588"/>
      <c r="R70" s="706"/>
      <c r="S70" s="707"/>
      <c r="T70" s="592"/>
      <c r="U70" s="590"/>
      <c r="V70" s="591"/>
      <c r="W70" s="591"/>
      <c r="X70" s="708"/>
      <c r="Y70" s="592"/>
      <c r="Z70" s="592"/>
      <c r="AA70" s="683">
        <f t="shared" si="1"/>
        <v>85153</v>
      </c>
      <c r="AB70" s="590"/>
      <c r="AC70" s="591"/>
      <c r="AD70" s="598"/>
      <c r="AE70" s="599"/>
      <c r="AF70" s="600"/>
      <c r="AG70" s="600"/>
      <c r="AH70" s="600"/>
      <c r="AI70" s="600"/>
      <c r="AJ70" s="600"/>
      <c r="AK70" s="685"/>
      <c r="AL70" s="13"/>
      <c r="AM70" s="14"/>
    </row>
    <row r="71" spans="1:39" ht="18" customHeight="1" hidden="1">
      <c r="A71" s="669">
        <v>85154</v>
      </c>
      <c r="B71" s="670" t="str">
        <f>WYDATKI!D476</f>
        <v>Przeciwdziałanie alkoholizmowi </v>
      </c>
      <c r="C71" s="671"/>
      <c r="D71" s="672"/>
      <c r="E71" s="567">
        <f>WYDATKI!H476</f>
        <v>454379</v>
      </c>
      <c r="F71" s="568">
        <f>WYDATKI!I476</f>
        <v>429141.49</v>
      </c>
      <c r="G71" s="745">
        <f>WYDATKI!J476</f>
        <v>94.44571382040102</v>
      </c>
      <c r="H71" s="587">
        <f>WYDATKI!H478+WYDATKI!H479+WYDATKI!H480</f>
        <v>171500</v>
      </c>
      <c r="I71" s="588">
        <f>WYDATKI!I478+WYDATKI!I479+WYDATKI!I480</f>
        <v>167419.84</v>
      </c>
      <c r="J71" s="705">
        <f>I71*100/H71</f>
        <v>97.62089795918368</v>
      </c>
      <c r="K71" s="587"/>
      <c r="L71" s="588"/>
      <c r="M71" s="705"/>
      <c r="N71" s="669">
        <f t="shared" si="2"/>
        <v>85154</v>
      </c>
      <c r="O71" s="587">
        <f>WYDATKI!E477</f>
        <v>36000</v>
      </c>
      <c r="P71" s="588">
        <f>WYDATKI!F477</f>
        <v>36000</v>
      </c>
      <c r="Q71" s="588">
        <f>P71*100/O71</f>
        <v>100</v>
      </c>
      <c r="R71" s="706"/>
      <c r="S71" s="707"/>
      <c r="T71" s="592"/>
      <c r="U71" s="590"/>
      <c r="V71" s="591"/>
      <c r="W71" s="591"/>
      <c r="X71" s="708"/>
      <c r="Y71" s="592"/>
      <c r="Z71" s="592"/>
      <c r="AA71" s="683">
        <f t="shared" si="1"/>
        <v>85154</v>
      </c>
      <c r="AB71" s="590"/>
      <c r="AC71" s="591"/>
      <c r="AD71" s="598"/>
      <c r="AE71" s="599"/>
      <c r="AF71" s="600"/>
      <c r="AG71" s="600"/>
      <c r="AH71" s="600"/>
      <c r="AI71" s="600"/>
      <c r="AJ71" s="600"/>
      <c r="AK71" s="685"/>
      <c r="AL71" s="13"/>
      <c r="AM71" s="14"/>
    </row>
    <row r="72" spans="1:39" ht="15.75" customHeight="1" hidden="1">
      <c r="A72" s="620">
        <v>85195</v>
      </c>
      <c r="B72" s="621" t="s">
        <v>6</v>
      </c>
      <c r="C72" s="709"/>
      <c r="D72" s="710"/>
      <c r="E72" s="605">
        <f>WYDATKI!E486</f>
        <v>19578</v>
      </c>
      <c r="F72" s="622">
        <f>WYDATKI!F486</f>
        <v>19577.42</v>
      </c>
      <c r="G72" s="768">
        <f>F72*100/E72</f>
        <v>99.99703749106138</v>
      </c>
      <c r="H72" s="677"/>
      <c r="I72" s="675"/>
      <c r="J72" s="712"/>
      <c r="K72" s="677"/>
      <c r="L72" s="675"/>
      <c r="M72" s="712"/>
      <c r="N72" s="620">
        <f t="shared" si="2"/>
        <v>85195</v>
      </c>
      <c r="O72" s="677"/>
      <c r="P72" s="675"/>
      <c r="Q72" s="675"/>
      <c r="R72" s="678"/>
      <c r="S72" s="679"/>
      <c r="T72" s="680"/>
      <c r="U72" s="612"/>
      <c r="V72" s="613"/>
      <c r="W72" s="613"/>
      <c r="X72" s="682"/>
      <c r="Y72" s="680"/>
      <c r="Z72" s="680"/>
      <c r="AA72" s="714">
        <f t="shared" si="1"/>
        <v>85195</v>
      </c>
      <c r="AB72" s="612"/>
      <c r="AC72" s="613"/>
      <c r="AD72" s="681"/>
      <c r="AE72" s="599"/>
      <c r="AF72" s="600"/>
      <c r="AG72" s="600"/>
      <c r="AH72" s="600"/>
      <c r="AI72" s="600"/>
      <c r="AJ72" s="600"/>
      <c r="AK72" s="685"/>
      <c r="AL72" s="13"/>
      <c r="AM72" s="14"/>
    </row>
    <row r="73" spans="1:39" ht="14.25" customHeight="1">
      <c r="A73" s="623">
        <v>852</v>
      </c>
      <c r="B73" s="624" t="s">
        <v>147</v>
      </c>
      <c r="C73" s="747">
        <f>WYDATKI!E489</f>
        <v>3443206</v>
      </c>
      <c r="D73" s="625">
        <f>WYDATKI!F489</f>
        <v>3176742.0200000005</v>
      </c>
      <c r="E73" s="626">
        <f>WYDATKI!H489</f>
        <v>3325627</v>
      </c>
      <c r="F73" s="533">
        <f>WYDATKI!I489</f>
        <v>3059237.0000000005</v>
      </c>
      <c r="G73" s="743">
        <f>F73*100/E73</f>
        <v>91.98978117509873</v>
      </c>
      <c r="H73" s="628">
        <f>SUM(H74:H81)</f>
        <v>1627656</v>
      </c>
      <c r="I73" s="629">
        <f>SUM(I74:I81)</f>
        <v>1553785.05</v>
      </c>
      <c r="J73" s="630">
        <f>I73*100/H73</f>
        <v>95.46151336646072</v>
      </c>
      <c r="K73" s="628">
        <f>K81</f>
        <v>51270</v>
      </c>
      <c r="L73" s="629">
        <f>L81</f>
        <v>48868.94</v>
      </c>
      <c r="M73" s="630">
        <f>L73*100/K73</f>
        <v>95.31683245562708</v>
      </c>
      <c r="N73" s="623">
        <f t="shared" si="2"/>
        <v>852</v>
      </c>
      <c r="O73" s="628"/>
      <c r="P73" s="629"/>
      <c r="Q73" s="629"/>
      <c r="R73" s="698">
        <f>SUM(R74:R81)</f>
        <v>945797</v>
      </c>
      <c r="S73" s="699">
        <f>SUM(S74:S81)</f>
        <v>869181.8500000001</v>
      </c>
      <c r="T73" s="633">
        <f>S73*100/R73</f>
        <v>91.89940864688724</v>
      </c>
      <c r="U73" s="631"/>
      <c r="V73" s="632"/>
      <c r="W73" s="632"/>
      <c r="X73" s="635">
        <f>X74+X76+X79</f>
        <v>35796</v>
      </c>
      <c r="Y73" s="635">
        <f>Y74+Y76+Y79</f>
        <v>35183.64</v>
      </c>
      <c r="Z73" s="633">
        <f>Y73*100/X73</f>
        <v>98.28930606771706</v>
      </c>
      <c r="AA73" s="636">
        <f t="shared" si="1"/>
        <v>852</v>
      </c>
      <c r="AB73" s="631"/>
      <c r="AC73" s="632"/>
      <c r="AD73" s="634"/>
      <c r="AE73" s="543"/>
      <c r="AF73" s="544"/>
      <c r="AG73" s="544"/>
      <c r="AH73" s="544"/>
      <c r="AI73" s="544"/>
      <c r="AJ73" s="544"/>
      <c r="AK73" s="685"/>
      <c r="AL73" s="13"/>
      <c r="AM73" s="14"/>
    </row>
    <row r="74" spans="1:39" ht="56.25" customHeight="1" hidden="1">
      <c r="A74" s="669">
        <v>85213</v>
      </c>
      <c r="B74" s="670" t="str">
        <f>WYDATKI!D490</f>
        <v>Składki na ubezpieczenie zdrowotne opłacane za osoby pobierające niektóre świadczenia z pomocy społecznej, niektóre świadcz rodzinne oraz za osoby uczęszczające w zajęciach w centrum integracji społecznej</v>
      </c>
      <c r="C74" s="671"/>
      <c r="D74" s="672"/>
      <c r="E74" s="567">
        <f>WYDATKI!H490</f>
        <v>56951</v>
      </c>
      <c r="F74" s="568">
        <f>WYDATKI!I490</f>
        <v>53989.3</v>
      </c>
      <c r="G74" s="745">
        <f>WYDATKI!J490</f>
        <v>94.79956453793612</v>
      </c>
      <c r="H74" s="587"/>
      <c r="I74" s="588"/>
      <c r="J74" s="705"/>
      <c r="K74" s="587"/>
      <c r="L74" s="588"/>
      <c r="M74" s="705"/>
      <c r="N74" s="669">
        <f t="shared" si="2"/>
        <v>85213</v>
      </c>
      <c r="O74" s="587"/>
      <c r="P74" s="588"/>
      <c r="Q74" s="588"/>
      <c r="R74" s="706"/>
      <c r="S74" s="707"/>
      <c r="T74" s="592"/>
      <c r="U74" s="590"/>
      <c r="V74" s="591"/>
      <c r="W74" s="591"/>
      <c r="X74" s="708">
        <v>31901</v>
      </c>
      <c r="Y74" s="592">
        <v>31303.16</v>
      </c>
      <c r="Z74" s="592">
        <f>Y74*100/X74</f>
        <v>98.12595216450894</v>
      </c>
      <c r="AA74" s="683">
        <f t="shared" si="1"/>
        <v>85213</v>
      </c>
      <c r="AB74" s="590"/>
      <c r="AC74" s="591"/>
      <c r="AD74" s="594"/>
      <c r="AE74" s="599"/>
      <c r="AF74" s="600"/>
      <c r="AG74" s="600"/>
      <c r="AH74" s="600"/>
      <c r="AI74" s="600"/>
      <c r="AJ74" s="600"/>
      <c r="AK74" s="685"/>
      <c r="AL74" s="13"/>
      <c r="AM74" s="14"/>
    </row>
    <row r="75" spans="1:39" ht="21.75" customHeight="1" hidden="1">
      <c r="A75" s="669">
        <v>85214</v>
      </c>
      <c r="B75" s="670" t="str">
        <f>WYDATKI!D492</f>
        <v>Zasiłki i pomoc w naturze oraz składki na ubezpieczenie emerytalne i rentowe</v>
      </c>
      <c r="C75" s="671"/>
      <c r="D75" s="672"/>
      <c r="E75" s="567">
        <f>WYDATKI!H492</f>
        <v>738760</v>
      </c>
      <c r="F75" s="568">
        <f>WYDATKI!I492</f>
        <v>687537.1799999999</v>
      </c>
      <c r="G75" s="745">
        <f>WYDATKI!J492</f>
        <v>93.06637879690292</v>
      </c>
      <c r="H75" s="587"/>
      <c r="I75" s="588"/>
      <c r="J75" s="705"/>
      <c r="K75" s="587"/>
      <c r="L75" s="588"/>
      <c r="M75" s="705"/>
      <c r="N75" s="669">
        <f t="shared" si="2"/>
        <v>85214</v>
      </c>
      <c r="O75" s="587"/>
      <c r="P75" s="588"/>
      <c r="Q75" s="588"/>
      <c r="R75" s="706">
        <f>WYDATKI!E493</f>
        <v>282660</v>
      </c>
      <c r="S75" s="706">
        <f>WYDATKI!F493</f>
        <v>257971.21</v>
      </c>
      <c r="T75" s="592">
        <f>S75*100/R75</f>
        <v>91.26555225359088</v>
      </c>
      <c r="U75" s="590"/>
      <c r="V75" s="591"/>
      <c r="W75" s="591"/>
      <c r="X75" s="708"/>
      <c r="Y75" s="592"/>
      <c r="Z75" s="592"/>
      <c r="AA75" s="683">
        <f t="shared" si="1"/>
        <v>85214</v>
      </c>
      <c r="AB75" s="590"/>
      <c r="AC75" s="591"/>
      <c r="AD75" s="598"/>
      <c r="AE75" s="599"/>
      <c r="AF75" s="600"/>
      <c r="AG75" s="600"/>
      <c r="AH75" s="600"/>
      <c r="AI75" s="600"/>
      <c r="AJ75" s="600"/>
      <c r="AK75" s="685"/>
      <c r="AL75" s="13"/>
      <c r="AM75" s="14"/>
    </row>
    <row r="76" spans="1:39" ht="13.5" customHeight="1" hidden="1">
      <c r="A76" s="669">
        <v>85215</v>
      </c>
      <c r="B76" s="670" t="str">
        <f>WYDATKI!D496</f>
        <v>Dodatki mieszkaniowe</v>
      </c>
      <c r="C76" s="671"/>
      <c r="D76" s="672"/>
      <c r="E76" s="567">
        <f>WYDATKI!H496</f>
        <v>66145</v>
      </c>
      <c r="F76" s="568">
        <f>WYDATKI!I496</f>
        <v>61921.93</v>
      </c>
      <c r="G76" s="745">
        <f>WYDATKI!J496</f>
        <v>93.61543578501777</v>
      </c>
      <c r="H76" s="587"/>
      <c r="I76" s="588"/>
      <c r="J76" s="705"/>
      <c r="K76" s="587"/>
      <c r="L76" s="588"/>
      <c r="M76" s="705"/>
      <c r="N76" s="669">
        <f t="shared" si="2"/>
        <v>85215</v>
      </c>
      <c r="O76" s="587"/>
      <c r="P76" s="588"/>
      <c r="Q76" s="588"/>
      <c r="R76" s="706">
        <f>WYDATKI!E497</f>
        <v>64616</v>
      </c>
      <c r="S76" s="706">
        <f>WYDATKI!F497</f>
        <v>60970.24</v>
      </c>
      <c r="T76" s="592">
        <f>S76*100/R76</f>
        <v>94.35780611613222</v>
      </c>
      <c r="U76" s="590"/>
      <c r="V76" s="591"/>
      <c r="W76" s="591"/>
      <c r="X76" s="708">
        <v>1585</v>
      </c>
      <c r="Y76" s="592">
        <v>1570.48</v>
      </c>
      <c r="Z76" s="592">
        <f>Y76*100/X76</f>
        <v>99.08391167192428</v>
      </c>
      <c r="AA76" s="683">
        <f t="shared" si="1"/>
        <v>85215</v>
      </c>
      <c r="AB76" s="590"/>
      <c r="AC76" s="591"/>
      <c r="AD76" s="598"/>
      <c r="AE76" s="599"/>
      <c r="AF76" s="600"/>
      <c r="AG76" s="600"/>
      <c r="AH76" s="600"/>
      <c r="AI76" s="600"/>
      <c r="AJ76" s="600"/>
      <c r="AK76" s="685"/>
      <c r="AL76" s="13"/>
      <c r="AM76" s="14"/>
    </row>
    <row r="77" spans="1:39" ht="14.25" customHeight="1" hidden="1">
      <c r="A77" s="669">
        <v>85216</v>
      </c>
      <c r="B77" s="670" t="str">
        <f>WYDATKI!D499</f>
        <v>Zasiłki stałe </v>
      </c>
      <c r="C77" s="671"/>
      <c r="D77" s="672"/>
      <c r="E77" s="567">
        <f>WYDATKI!H499</f>
        <v>281596</v>
      </c>
      <c r="F77" s="568">
        <f>WYDATKI!I499</f>
        <v>250748.41999999998</v>
      </c>
      <c r="G77" s="745">
        <f>WYDATKI!J496</f>
        <v>93.61543578501777</v>
      </c>
      <c r="H77" s="587"/>
      <c r="I77" s="588"/>
      <c r="J77" s="705"/>
      <c r="K77" s="587"/>
      <c r="L77" s="588"/>
      <c r="M77" s="705"/>
      <c r="N77" s="669">
        <f t="shared" si="2"/>
        <v>85216</v>
      </c>
      <c r="O77" s="587"/>
      <c r="P77" s="588"/>
      <c r="Q77" s="588"/>
      <c r="R77" s="706">
        <f>WYDATKI!E500</f>
        <v>280596</v>
      </c>
      <c r="S77" s="706">
        <f>WYDATKI!F500</f>
        <v>250060.68</v>
      </c>
      <c r="T77" s="592">
        <f>S77*100/R77</f>
        <v>89.11769234058931</v>
      </c>
      <c r="U77" s="590"/>
      <c r="V77" s="591"/>
      <c r="W77" s="591"/>
      <c r="X77" s="708"/>
      <c r="Y77" s="592"/>
      <c r="Z77" s="592"/>
      <c r="AA77" s="683">
        <f t="shared" si="1"/>
        <v>85216</v>
      </c>
      <c r="AB77" s="590"/>
      <c r="AC77" s="591"/>
      <c r="AD77" s="598"/>
      <c r="AE77" s="599"/>
      <c r="AF77" s="600"/>
      <c r="AG77" s="600"/>
      <c r="AH77" s="600"/>
      <c r="AI77" s="600"/>
      <c r="AJ77" s="600"/>
      <c r="AK77" s="685"/>
      <c r="AL77" s="13"/>
      <c r="AM77" s="14"/>
    </row>
    <row r="78" spans="1:39" ht="14.25" customHeight="1" hidden="1">
      <c r="A78" s="669">
        <v>85219</v>
      </c>
      <c r="B78" s="670" t="str">
        <f>WYDATKI!D502</f>
        <v>Ośrodki pomocy społecznej </v>
      </c>
      <c r="C78" s="671"/>
      <c r="D78" s="672"/>
      <c r="E78" s="567">
        <f>WYDATKI!H502</f>
        <v>1803046</v>
      </c>
      <c r="F78" s="568">
        <f>WYDATKI!I502</f>
        <v>1658205.9000000001</v>
      </c>
      <c r="G78" s="745">
        <f>WYDATKI!J502</f>
        <v>91.96692153167473</v>
      </c>
      <c r="H78" s="587">
        <f>SUM(WYDATKI!H504:H508)</f>
        <v>1568856</v>
      </c>
      <c r="I78" s="588">
        <f>SUM(WYDATKI!I504:I508)</f>
        <v>1500651.45</v>
      </c>
      <c r="J78" s="705">
        <f>I78*100/H78</f>
        <v>95.65259335464823</v>
      </c>
      <c r="K78" s="587"/>
      <c r="L78" s="588"/>
      <c r="M78" s="705"/>
      <c r="N78" s="669">
        <f t="shared" si="2"/>
        <v>85219</v>
      </c>
      <c r="O78" s="587"/>
      <c r="P78" s="588"/>
      <c r="Q78" s="588"/>
      <c r="R78" s="706">
        <f>WYDATKI!H503</f>
        <v>14425</v>
      </c>
      <c r="S78" s="707">
        <f>WYDATKI!I503</f>
        <v>14295</v>
      </c>
      <c r="T78" s="592">
        <f>S78*100/R78</f>
        <v>99.09878682842287</v>
      </c>
      <c r="U78" s="590"/>
      <c r="V78" s="591"/>
      <c r="W78" s="591"/>
      <c r="X78" s="708"/>
      <c r="Y78" s="592"/>
      <c r="Z78" s="592"/>
      <c r="AA78" s="683">
        <f t="shared" si="1"/>
        <v>85219</v>
      </c>
      <c r="AB78" s="590"/>
      <c r="AC78" s="591"/>
      <c r="AD78" s="598"/>
      <c r="AE78" s="599"/>
      <c r="AF78" s="600"/>
      <c r="AG78" s="600"/>
      <c r="AH78" s="600"/>
      <c r="AI78" s="600"/>
      <c r="AJ78" s="600"/>
      <c r="AK78" s="685"/>
      <c r="AL78" s="13"/>
      <c r="AM78" s="14"/>
    </row>
    <row r="79" spans="1:39" ht="21" customHeight="1" hidden="1">
      <c r="A79" s="722">
        <v>85228</v>
      </c>
      <c r="B79" s="764" t="s">
        <v>278</v>
      </c>
      <c r="C79" s="753"/>
      <c r="D79" s="754"/>
      <c r="E79" s="684">
        <f>WYDATKI!H519</f>
        <v>2310</v>
      </c>
      <c r="F79" s="763">
        <f>WYDATKI!I519</f>
        <v>2310</v>
      </c>
      <c r="G79" s="745">
        <f>WYDATKI!J503</f>
        <v>99.09878682842287</v>
      </c>
      <c r="H79" s="755">
        <f>WYDATKI!E520</f>
        <v>2310</v>
      </c>
      <c r="I79" s="756">
        <f>WYDATKI!F520</f>
        <v>2310</v>
      </c>
      <c r="J79" s="705">
        <f>I79*100/H79</f>
        <v>100</v>
      </c>
      <c r="K79" s="755"/>
      <c r="L79" s="756"/>
      <c r="M79" s="765"/>
      <c r="N79" s="722">
        <f t="shared" si="2"/>
        <v>85228</v>
      </c>
      <c r="O79" s="755"/>
      <c r="P79" s="756"/>
      <c r="Q79" s="756"/>
      <c r="R79" s="769"/>
      <c r="S79" s="707"/>
      <c r="T79" s="592"/>
      <c r="U79" s="758"/>
      <c r="V79" s="759"/>
      <c r="W79" s="759"/>
      <c r="X79" s="761">
        <v>2310</v>
      </c>
      <c r="Y79" s="760">
        <v>2310</v>
      </c>
      <c r="Z79" s="760"/>
      <c r="AA79" s="723">
        <f aca="true" t="shared" si="12" ref="AA79:AA118">N79</f>
        <v>85228</v>
      </c>
      <c r="AB79" s="758"/>
      <c r="AC79" s="759"/>
      <c r="AD79" s="762"/>
      <c r="AE79" s="599"/>
      <c r="AF79" s="600"/>
      <c r="AG79" s="600"/>
      <c r="AH79" s="600"/>
      <c r="AI79" s="600"/>
      <c r="AJ79" s="600"/>
      <c r="AK79" s="685"/>
      <c r="AL79" s="13"/>
      <c r="AM79" s="14"/>
    </row>
    <row r="80" spans="1:39" ht="14.25" customHeight="1" hidden="1">
      <c r="A80" s="722">
        <v>85230</v>
      </c>
      <c r="B80" s="764" t="s">
        <v>259</v>
      </c>
      <c r="C80" s="753"/>
      <c r="D80" s="754"/>
      <c r="E80" s="684">
        <f>WYDATKI!E521</f>
        <v>283000</v>
      </c>
      <c r="F80" s="763">
        <f>WYDATKI!F521</f>
        <v>266437.67</v>
      </c>
      <c r="G80" s="745">
        <f>F80*100/E80</f>
        <v>94.14758657243816</v>
      </c>
      <c r="H80" s="755"/>
      <c r="I80" s="756"/>
      <c r="J80" s="705"/>
      <c r="K80" s="755"/>
      <c r="L80" s="756"/>
      <c r="M80" s="765"/>
      <c r="N80" s="722">
        <f aca="true" t="shared" si="13" ref="N80:N118">A80</f>
        <v>85230</v>
      </c>
      <c r="O80" s="755"/>
      <c r="P80" s="756"/>
      <c r="Q80" s="756"/>
      <c r="R80" s="769">
        <f>WYDATKI!E522</f>
        <v>282000</v>
      </c>
      <c r="S80" s="770">
        <f>WYDATKI!F522</f>
        <v>266044.67</v>
      </c>
      <c r="T80" s="592">
        <f>S80*100/R80</f>
        <v>94.34208156028369</v>
      </c>
      <c r="U80" s="758"/>
      <c r="V80" s="759"/>
      <c r="W80" s="759"/>
      <c r="X80" s="761"/>
      <c r="Y80" s="760"/>
      <c r="Z80" s="760"/>
      <c r="AA80" s="723">
        <f t="shared" si="12"/>
        <v>85230</v>
      </c>
      <c r="AB80" s="758"/>
      <c r="AC80" s="759"/>
      <c r="AD80" s="762"/>
      <c r="AE80" s="599"/>
      <c r="AF80" s="600"/>
      <c r="AG80" s="600"/>
      <c r="AH80" s="600"/>
      <c r="AI80" s="600"/>
      <c r="AJ80" s="600"/>
      <c r="AK80" s="685"/>
      <c r="AL80" s="13"/>
      <c r="AM80" s="14"/>
    </row>
    <row r="81" spans="1:39" ht="20.25" customHeight="1" hidden="1">
      <c r="A81" s="620">
        <v>85295</v>
      </c>
      <c r="B81" s="621" t="s">
        <v>6</v>
      </c>
      <c r="C81" s="709"/>
      <c r="D81" s="710"/>
      <c r="E81" s="605">
        <f>WYDATKI!H524+WYDATKI!H531</f>
        <v>93819</v>
      </c>
      <c r="F81" s="605">
        <f>WYDATKI!I524+WYDATKI!I531</f>
        <v>78086.6</v>
      </c>
      <c r="G81" s="768">
        <f>WYDATKI!J524</f>
        <v>92.2793023255814</v>
      </c>
      <c r="H81" s="677">
        <f>WYDATKI!E526+WYDATKI!E527+WYDATKI!E528+WYDATKI!E532+WYDATKI!E533+WYDATKI!E534+WYDATKI!E535</f>
        <v>56490</v>
      </c>
      <c r="I81" s="675">
        <f>WYDATKI!F526+WYDATKI!F527+WYDATKI!F528+WYDATKI!F532+WYDATKI!F533+WYDATKI!F534+WYDATKI!F535</f>
        <v>50823.600000000006</v>
      </c>
      <c r="J81" s="705">
        <f>I81*100/H81</f>
        <v>89.96919808815721</v>
      </c>
      <c r="K81" s="677">
        <f>WYDATKI!E532+WYDATKI!E533+WYDATKI!E534+WYDATKI!E535</f>
        <v>51270</v>
      </c>
      <c r="L81" s="675">
        <f>WYDATKI!F532+WYDATKI!F533+WYDATKI!F534+WYDATKI!F535</f>
        <v>48868.94</v>
      </c>
      <c r="M81" s="712">
        <f>L81*100/K81</f>
        <v>95.31683245562708</v>
      </c>
      <c r="N81" s="620">
        <f t="shared" si="13"/>
        <v>85295</v>
      </c>
      <c r="O81" s="677"/>
      <c r="P81" s="675"/>
      <c r="Q81" s="675"/>
      <c r="R81" s="771">
        <f>WYDATKI!E525</f>
        <v>21500</v>
      </c>
      <c r="S81" s="771">
        <f>WYDATKI!F525</f>
        <v>19840.05</v>
      </c>
      <c r="T81" s="592">
        <f>S81*100/R81</f>
        <v>92.2793023255814</v>
      </c>
      <c r="U81" s="612"/>
      <c r="V81" s="613"/>
      <c r="W81" s="613"/>
      <c r="X81" s="682"/>
      <c r="Y81" s="680"/>
      <c r="Z81" s="680"/>
      <c r="AA81" s="714">
        <f t="shared" si="12"/>
        <v>85295</v>
      </c>
      <c r="AB81" s="612"/>
      <c r="AC81" s="613"/>
      <c r="AD81" s="762"/>
      <c r="AE81" s="599"/>
      <c r="AF81" s="600"/>
      <c r="AG81" s="600"/>
      <c r="AH81" s="600"/>
      <c r="AI81" s="600"/>
      <c r="AJ81" s="600"/>
      <c r="AK81" s="685"/>
      <c r="AL81" s="13"/>
      <c r="AM81" s="14"/>
    </row>
    <row r="82" spans="1:39" ht="15" customHeight="1">
      <c r="A82" s="623">
        <v>853</v>
      </c>
      <c r="B82" s="624" t="s">
        <v>299</v>
      </c>
      <c r="C82" s="747"/>
      <c r="D82" s="625"/>
      <c r="E82" s="626">
        <f>WYDATKI!H539</f>
        <v>44800</v>
      </c>
      <c r="F82" s="626">
        <f>WYDATKI!I539</f>
        <v>37493.8</v>
      </c>
      <c r="G82" s="533">
        <f>WYDATKI!J525</f>
        <v>92.2793023255814</v>
      </c>
      <c r="H82" s="628">
        <f>WYDATKI!E541+WYDATKI!E542+WYDATKI!E543</f>
        <v>6840</v>
      </c>
      <c r="I82" s="629">
        <f>WYDATKI!F541+WYDATKI!F542+WYDATKI!F543</f>
        <v>6512.640000000001</v>
      </c>
      <c r="J82" s="697">
        <f>I82*100/H82</f>
        <v>95.21403508771931</v>
      </c>
      <c r="K82" s="628">
        <f>H82</f>
        <v>6840</v>
      </c>
      <c r="L82" s="629">
        <f>I82</f>
        <v>6512.640000000001</v>
      </c>
      <c r="M82" s="697">
        <f>J82</f>
        <v>95.21403508771931</v>
      </c>
      <c r="N82" s="623">
        <f t="shared" si="13"/>
        <v>853</v>
      </c>
      <c r="O82" s="628"/>
      <c r="P82" s="629"/>
      <c r="Q82" s="629"/>
      <c r="R82" s="698"/>
      <c r="S82" s="699"/>
      <c r="T82" s="633"/>
      <c r="U82" s="772"/>
      <c r="V82" s="773"/>
      <c r="W82" s="773"/>
      <c r="X82" s="774"/>
      <c r="Y82" s="775"/>
      <c r="Z82" s="775"/>
      <c r="AA82" s="636">
        <f t="shared" si="12"/>
        <v>853</v>
      </c>
      <c r="AB82" s="772"/>
      <c r="AC82" s="773"/>
      <c r="AD82" s="617"/>
      <c r="AE82" s="599"/>
      <c r="AF82" s="600"/>
      <c r="AG82" s="600"/>
      <c r="AH82" s="600"/>
      <c r="AI82" s="600"/>
      <c r="AJ82" s="600"/>
      <c r="AK82" s="685"/>
      <c r="AL82" s="13"/>
      <c r="AM82" s="14"/>
    </row>
    <row r="83" spans="1:39" ht="37.5" customHeight="1" hidden="1">
      <c r="A83" s="637">
        <v>85395</v>
      </c>
      <c r="B83" s="695" t="s">
        <v>284</v>
      </c>
      <c r="C83" s="776"/>
      <c r="D83" s="777"/>
      <c r="E83" s="715">
        <f>WYDATKI!H540</f>
        <v>44800</v>
      </c>
      <c r="F83" s="715">
        <f>WYDATKI!I540</f>
        <v>37493.8</v>
      </c>
      <c r="G83" s="768">
        <f>WYDATKI!J526</f>
        <v>37.27866666666666</v>
      </c>
      <c r="H83" s="674">
        <v>6840</v>
      </c>
      <c r="I83" s="646">
        <v>6513</v>
      </c>
      <c r="J83" s="778">
        <v>95.21</v>
      </c>
      <c r="K83" s="674">
        <f>WYDATKI!E541+WYDATKI!E542+WYDATKI!E543</f>
        <v>6840</v>
      </c>
      <c r="L83" s="779">
        <f>WYDATKI!F541+WYDATKI!F542+WYDATKI!F543</f>
        <v>6512.640000000001</v>
      </c>
      <c r="M83" s="780">
        <v>95.21</v>
      </c>
      <c r="N83" s="637">
        <f t="shared" si="13"/>
        <v>85395</v>
      </c>
      <c r="O83" s="674"/>
      <c r="P83" s="779"/>
      <c r="Q83" s="779"/>
      <c r="R83" s="781"/>
      <c r="S83" s="782"/>
      <c r="T83" s="650"/>
      <c r="U83" s="648"/>
      <c r="V83" s="773"/>
      <c r="W83" s="773"/>
      <c r="X83" s="774"/>
      <c r="Y83" s="775"/>
      <c r="Z83" s="775"/>
      <c r="AA83" s="783">
        <f t="shared" si="12"/>
        <v>85395</v>
      </c>
      <c r="AB83" s="772"/>
      <c r="AC83" s="773"/>
      <c r="AD83" s="617"/>
      <c r="AE83" s="599"/>
      <c r="AF83" s="600"/>
      <c r="AG83" s="600"/>
      <c r="AH83" s="600"/>
      <c r="AI83" s="600"/>
      <c r="AJ83" s="600"/>
      <c r="AK83" s="685"/>
      <c r="AL83" s="13"/>
      <c r="AM83" s="14"/>
    </row>
    <row r="84" spans="1:39" ht="12.75" customHeight="1">
      <c r="A84" s="623">
        <v>854</v>
      </c>
      <c r="B84" s="624" t="s">
        <v>27</v>
      </c>
      <c r="C84" s="747">
        <f>WYDATKI!E546</f>
        <v>4868389</v>
      </c>
      <c r="D84" s="625">
        <f>WYDATKI!F546</f>
        <v>4791872.480000001</v>
      </c>
      <c r="E84" s="626">
        <f>WYDATKI!H546</f>
        <v>4868389</v>
      </c>
      <c r="F84" s="533">
        <f>WYDATKI!I546</f>
        <v>4791872.480000001</v>
      </c>
      <c r="G84" s="743">
        <f>F84*100/E84</f>
        <v>98.4282989711792</v>
      </c>
      <c r="H84" s="628">
        <f>WYDATKI!E549+WYDATKI!E550+WYDATKI!E551+WYDATKI!E552</f>
        <v>3754775</v>
      </c>
      <c r="I84" s="629">
        <f>WYDATKI!F549+WYDATKI!F550+WYDATKI!F551+WYDATKI!F552</f>
        <v>3754710.5399999996</v>
      </c>
      <c r="J84" s="630">
        <f>I84*100/H84</f>
        <v>99.99828325265827</v>
      </c>
      <c r="K84" s="628"/>
      <c r="L84" s="629"/>
      <c r="M84" s="630"/>
      <c r="N84" s="623">
        <f t="shared" si="13"/>
        <v>854</v>
      </c>
      <c r="O84" s="628">
        <f>SUM(O85:O88)</f>
        <v>168000</v>
      </c>
      <c r="P84" s="629">
        <f>SUM(P85:P88)</f>
        <v>143507.34</v>
      </c>
      <c r="Q84" s="629">
        <f>P84*100/O84</f>
        <v>85.42103571428571</v>
      </c>
      <c r="R84" s="698">
        <f>SUM(R85:R89)</f>
        <v>476585</v>
      </c>
      <c r="S84" s="699">
        <f>SUM(S85:S89)</f>
        <v>440783.94</v>
      </c>
      <c r="T84" s="633">
        <f>S84*100/R84</f>
        <v>92.48800109109602</v>
      </c>
      <c r="U84" s="631"/>
      <c r="V84" s="632"/>
      <c r="W84" s="632"/>
      <c r="X84" s="635"/>
      <c r="Y84" s="633"/>
      <c r="Z84" s="633"/>
      <c r="AA84" s="636">
        <f t="shared" si="12"/>
        <v>854</v>
      </c>
      <c r="AB84" s="631"/>
      <c r="AC84" s="632"/>
      <c r="AD84" s="634"/>
      <c r="AE84" s="543"/>
      <c r="AF84" s="544"/>
      <c r="AG84" s="544"/>
      <c r="AH84" s="544"/>
      <c r="AI84" s="544"/>
      <c r="AJ84" s="544"/>
      <c r="AK84" s="685"/>
      <c r="AL84" s="13"/>
      <c r="AM84" s="14"/>
    </row>
    <row r="85" spans="1:39" ht="14.25" customHeight="1" hidden="1">
      <c r="A85" s="564">
        <v>85401</v>
      </c>
      <c r="B85" s="547" t="str">
        <f>WYDATKI!D547</f>
        <v>Świetlice szkolne </v>
      </c>
      <c r="C85" s="658"/>
      <c r="D85" s="659"/>
      <c r="E85" s="550">
        <f>WYDATKI!H547</f>
        <v>4434924</v>
      </c>
      <c r="F85" s="551">
        <f>WYDATKI!I547</f>
        <v>4416705.910000001</v>
      </c>
      <c r="G85" s="784">
        <f>WYDATKI!J547</f>
        <v>99.58921302822779</v>
      </c>
      <c r="H85" s="573">
        <f>WYDATKI!H549+WYDATKI!H550+WYDATKI!H551+WYDATKI!H552</f>
        <v>3754775</v>
      </c>
      <c r="I85" s="574">
        <f>WYDATKI!I549+WYDATKI!I550+WYDATKI!I551+WYDATKI!I552</f>
        <v>3754710.5399999996</v>
      </c>
      <c r="J85" s="574">
        <f>I85*100/H85</f>
        <v>99.99828325265827</v>
      </c>
      <c r="K85" s="573"/>
      <c r="L85" s="574"/>
      <c r="M85" s="574"/>
      <c r="N85" s="564">
        <f t="shared" si="13"/>
        <v>85401</v>
      </c>
      <c r="O85" s="573"/>
      <c r="P85" s="574"/>
      <c r="Q85" s="574"/>
      <c r="R85" s="662">
        <f>WYDATKI!H548</f>
        <v>235120</v>
      </c>
      <c r="S85" s="663">
        <f>WYDATKI!I548</f>
        <v>231293.94</v>
      </c>
      <c r="T85" s="596">
        <f>WYDATKI!J548</f>
        <v>98.37272031303165</v>
      </c>
      <c r="U85" s="593"/>
      <c r="V85" s="597"/>
      <c r="W85" s="597"/>
      <c r="X85" s="595"/>
      <c r="Y85" s="596"/>
      <c r="Z85" s="596"/>
      <c r="AA85" s="664">
        <f t="shared" si="12"/>
        <v>85401</v>
      </c>
      <c r="AB85" s="593"/>
      <c r="AC85" s="597"/>
      <c r="AD85" s="594"/>
      <c r="AE85" s="599"/>
      <c r="AF85" s="600"/>
      <c r="AG85" s="600"/>
      <c r="AH85" s="600"/>
      <c r="AI85" s="600"/>
      <c r="AJ85" s="600"/>
      <c r="AK85" s="685"/>
      <c r="AL85" s="13"/>
      <c r="AM85" s="14"/>
    </row>
    <row r="86" spans="1:39" ht="14.25" customHeight="1" hidden="1">
      <c r="A86" s="669">
        <v>85404</v>
      </c>
      <c r="B86" s="785" t="s">
        <v>203</v>
      </c>
      <c r="C86" s="671"/>
      <c r="D86" s="672"/>
      <c r="E86" s="567">
        <f>WYDATKI!H563</f>
        <v>168000</v>
      </c>
      <c r="F86" s="567">
        <f>WYDATKI!I563</f>
        <v>143507.34</v>
      </c>
      <c r="G86" s="784">
        <f>F86*100/E86</f>
        <v>85.42103571428571</v>
      </c>
      <c r="H86" s="573"/>
      <c r="I86" s="574"/>
      <c r="J86" s="574"/>
      <c r="K86" s="573"/>
      <c r="L86" s="574"/>
      <c r="M86" s="574"/>
      <c r="N86" s="669">
        <f t="shared" si="13"/>
        <v>85404</v>
      </c>
      <c r="O86" s="573">
        <f>WYDATKI!E564+WYDATKI!E565</f>
        <v>168000</v>
      </c>
      <c r="P86" s="574">
        <f>WYDATKI!F564+WYDATKI!F565</f>
        <v>143507.34</v>
      </c>
      <c r="Q86" s="574">
        <f>P86*100/O86</f>
        <v>85.42103571428571</v>
      </c>
      <c r="R86" s="662"/>
      <c r="S86" s="663"/>
      <c r="T86" s="596">
        <f>WYDATKI!J549</f>
        <v>99.99918918836433</v>
      </c>
      <c r="U86" s="593"/>
      <c r="V86" s="597"/>
      <c r="W86" s="597"/>
      <c r="X86" s="595"/>
      <c r="Y86" s="596"/>
      <c r="Z86" s="596"/>
      <c r="AA86" s="683">
        <f t="shared" si="12"/>
        <v>85404</v>
      </c>
      <c r="AB86" s="593"/>
      <c r="AC86" s="597"/>
      <c r="AD86" s="594"/>
      <c r="AE86" s="599"/>
      <c r="AF86" s="600"/>
      <c r="AG86" s="600"/>
      <c r="AH86" s="600"/>
      <c r="AI86" s="600"/>
      <c r="AJ86" s="600"/>
      <c r="AK86" s="685"/>
      <c r="AL86" s="13"/>
      <c r="AM86" s="14"/>
    </row>
    <row r="87" spans="1:39" ht="33" customHeight="1" hidden="1">
      <c r="A87" s="669">
        <v>85412</v>
      </c>
      <c r="B87" s="670" t="str">
        <f>WYDATKI!D566</f>
        <v>Kolonie i obozy oraz inne formy wypoczynku dzieci i młodzieży szkolnej, a także szkolenia młodzieży</v>
      </c>
      <c r="C87" s="671"/>
      <c r="D87" s="672"/>
      <c r="E87" s="567">
        <f>WYDATKI!H566</f>
        <v>24000</v>
      </c>
      <c r="F87" s="568">
        <f>WYDATKI!I566</f>
        <v>22169.23</v>
      </c>
      <c r="G87" s="745">
        <f>WYDATKI!J566</f>
        <v>92.37179166666667</v>
      </c>
      <c r="H87" s="587"/>
      <c r="I87" s="588"/>
      <c r="J87" s="589"/>
      <c r="K87" s="587"/>
      <c r="L87" s="588"/>
      <c r="M87" s="589"/>
      <c r="N87" s="669">
        <f t="shared" si="13"/>
        <v>85412</v>
      </c>
      <c r="O87" s="587"/>
      <c r="P87" s="588"/>
      <c r="Q87" s="574"/>
      <c r="R87" s="706"/>
      <c r="S87" s="707"/>
      <c r="T87" s="596"/>
      <c r="U87" s="590"/>
      <c r="V87" s="591"/>
      <c r="W87" s="591"/>
      <c r="X87" s="708"/>
      <c r="Y87" s="592"/>
      <c r="Z87" s="592"/>
      <c r="AA87" s="683">
        <f t="shared" si="12"/>
        <v>85412</v>
      </c>
      <c r="AB87" s="590"/>
      <c r="AC87" s="591"/>
      <c r="AD87" s="598"/>
      <c r="AE87" s="599"/>
      <c r="AF87" s="600"/>
      <c r="AG87" s="600"/>
      <c r="AH87" s="600"/>
      <c r="AI87" s="600"/>
      <c r="AJ87" s="600"/>
      <c r="AK87" s="685"/>
      <c r="AL87" s="13"/>
      <c r="AM87" s="443"/>
    </row>
    <row r="88" spans="1:39" ht="14.25" customHeight="1" hidden="1">
      <c r="A88" s="620">
        <v>85415</v>
      </c>
      <c r="B88" s="621" t="str">
        <f>WYDATKI!D569</f>
        <v>Pomoc materialna dla uczniów </v>
      </c>
      <c r="C88" s="709"/>
      <c r="D88" s="710"/>
      <c r="E88" s="605">
        <f>WYDATKI!H569</f>
        <v>65485</v>
      </c>
      <c r="F88" s="622">
        <f>WYDATKI!I569</f>
        <v>37640</v>
      </c>
      <c r="G88" s="768">
        <f>WYDATKI!J569</f>
        <v>57.47881194166603</v>
      </c>
      <c r="H88" s="677"/>
      <c r="I88" s="675"/>
      <c r="J88" s="676"/>
      <c r="K88" s="677"/>
      <c r="L88" s="675"/>
      <c r="M88" s="676"/>
      <c r="N88" s="620">
        <f t="shared" si="13"/>
        <v>85415</v>
      </c>
      <c r="O88" s="677"/>
      <c r="P88" s="675"/>
      <c r="Q88" s="675"/>
      <c r="R88" s="678">
        <f>WYDATKI!E570</f>
        <v>65485</v>
      </c>
      <c r="S88" s="679">
        <f>WYDATKI!F570</f>
        <v>37640</v>
      </c>
      <c r="T88" s="596">
        <f>WYDATKI!J551</f>
        <v>99.99362614355286</v>
      </c>
      <c r="U88" s="612"/>
      <c r="V88" s="613"/>
      <c r="W88" s="613"/>
      <c r="X88" s="682"/>
      <c r="Y88" s="680"/>
      <c r="Z88" s="680"/>
      <c r="AA88" s="714">
        <f t="shared" si="12"/>
        <v>85415</v>
      </c>
      <c r="AB88" s="612"/>
      <c r="AC88" s="613"/>
      <c r="AD88" s="681"/>
      <c r="AE88" s="599"/>
      <c r="AF88" s="600"/>
      <c r="AG88" s="600"/>
      <c r="AH88" s="600"/>
      <c r="AI88" s="600"/>
      <c r="AJ88" s="600"/>
      <c r="AK88" s="685"/>
      <c r="AL88" s="13"/>
      <c r="AM88" s="14"/>
    </row>
    <row r="89" spans="1:39" ht="24" customHeight="1" hidden="1">
      <c r="A89" s="637">
        <v>85416</v>
      </c>
      <c r="B89" s="695" t="s">
        <v>236</v>
      </c>
      <c r="C89" s="776"/>
      <c r="D89" s="777"/>
      <c r="E89" s="715">
        <f>WYDATKI!H571</f>
        <v>175980</v>
      </c>
      <c r="F89" s="622">
        <f>WYDATKI!I571</f>
        <v>171850</v>
      </c>
      <c r="G89" s="768">
        <f>WYDATKI!J570</f>
        <v>57.47881194166603</v>
      </c>
      <c r="H89" s="674"/>
      <c r="I89" s="779"/>
      <c r="J89" s="786"/>
      <c r="K89" s="674"/>
      <c r="L89" s="779"/>
      <c r="M89" s="786"/>
      <c r="N89" s="637">
        <f t="shared" si="13"/>
        <v>85416</v>
      </c>
      <c r="O89" s="674"/>
      <c r="P89" s="779"/>
      <c r="Q89" s="609"/>
      <c r="R89" s="713">
        <f>WYDATKI!E572</f>
        <v>175980</v>
      </c>
      <c r="S89" s="787">
        <f>WYDATKI!F572</f>
        <v>171850</v>
      </c>
      <c r="T89" s="596">
        <f>WYDATKI!J552</f>
        <v>99.99610084033614</v>
      </c>
      <c r="U89" s="772"/>
      <c r="V89" s="773"/>
      <c r="W89" s="773"/>
      <c r="X89" s="774"/>
      <c r="Y89" s="775"/>
      <c r="Z89" s="775"/>
      <c r="AA89" s="783">
        <f t="shared" si="12"/>
        <v>85416</v>
      </c>
      <c r="AB89" s="772"/>
      <c r="AC89" s="773"/>
      <c r="AD89" s="788"/>
      <c r="AE89" s="599"/>
      <c r="AF89" s="600"/>
      <c r="AG89" s="600"/>
      <c r="AH89" s="600"/>
      <c r="AI89" s="600"/>
      <c r="AJ89" s="600"/>
      <c r="AK89" s="685"/>
      <c r="AL89" s="13"/>
      <c r="AM89" s="14"/>
    </row>
    <row r="90" spans="1:39" ht="10.5" customHeight="1">
      <c r="A90" s="623">
        <v>855</v>
      </c>
      <c r="B90" s="624" t="s">
        <v>255</v>
      </c>
      <c r="C90" s="747">
        <f>WYDATKI!E630</f>
        <v>2200</v>
      </c>
      <c r="D90" s="625">
        <f>WYDATKI!F630</f>
        <v>1976.1</v>
      </c>
      <c r="E90" s="626">
        <f>WYDATKI!E573</f>
        <v>26385726</v>
      </c>
      <c r="F90" s="533">
        <f>WYDATKI!F573</f>
        <v>26339778.580000002</v>
      </c>
      <c r="G90" s="743">
        <f>F90*100/E90</f>
        <v>99.82586258949252</v>
      </c>
      <c r="H90" s="628">
        <f>SUM(H91:H99)</f>
        <v>830466</v>
      </c>
      <c r="I90" s="629">
        <f>SUM(I91:I99)</f>
        <v>806481.07</v>
      </c>
      <c r="J90" s="697">
        <f aca="true" t="shared" si="14" ref="J90:J100">I90*100/H90</f>
        <v>97.11187092548039</v>
      </c>
      <c r="K90" s="628"/>
      <c r="L90" s="629"/>
      <c r="M90" s="697"/>
      <c r="N90" s="623">
        <f t="shared" si="13"/>
        <v>855</v>
      </c>
      <c r="O90" s="628">
        <f>SUM(O91:O99)</f>
        <v>237000</v>
      </c>
      <c r="P90" s="629">
        <f>SUM(P91:P99)</f>
        <v>232700</v>
      </c>
      <c r="Q90" s="629">
        <f>P90*100/O90</f>
        <v>98.18565400843882</v>
      </c>
      <c r="R90" s="698">
        <f>SUM(R91:R99)</f>
        <v>25067536</v>
      </c>
      <c r="S90" s="528">
        <f>SUM(S91:S99)</f>
        <v>25060873.95</v>
      </c>
      <c r="T90" s="539">
        <f>S90*100/R90</f>
        <v>99.9734235945647</v>
      </c>
      <c r="U90" s="631"/>
      <c r="V90" s="632"/>
      <c r="W90" s="632"/>
      <c r="X90" s="635">
        <f>X91+X92+X93+X94</f>
        <v>25760992</v>
      </c>
      <c r="Y90" s="633">
        <f>Y91+Y92+Y93+Y94</f>
        <v>25749631.75</v>
      </c>
      <c r="Z90" s="633">
        <f>Y90*100/X90</f>
        <v>99.95590134883004</v>
      </c>
      <c r="AA90" s="636">
        <f t="shared" si="12"/>
        <v>855</v>
      </c>
      <c r="AB90" s="631"/>
      <c r="AC90" s="632"/>
      <c r="AD90" s="634"/>
      <c r="AE90" s="599"/>
      <c r="AF90" s="600"/>
      <c r="AG90" s="600"/>
      <c r="AH90" s="600"/>
      <c r="AI90" s="600"/>
      <c r="AJ90" s="600"/>
      <c r="AK90" s="685"/>
      <c r="AL90" s="13"/>
      <c r="AM90" s="14"/>
    </row>
    <row r="91" spans="1:39" ht="0.75" customHeight="1" hidden="1">
      <c r="A91" s="565">
        <v>85501</v>
      </c>
      <c r="B91" s="566" t="s">
        <v>238</v>
      </c>
      <c r="C91" s="584"/>
      <c r="D91" s="585"/>
      <c r="E91" s="668">
        <f>WYDATKI!E574</f>
        <v>19908500</v>
      </c>
      <c r="F91" s="606">
        <f>WYDATKI!F574</f>
        <v>19899290.57</v>
      </c>
      <c r="G91" s="784">
        <f>WYDATKI!J631</f>
        <v>78.1</v>
      </c>
      <c r="H91" s="573">
        <f>WYDATKI!E577+WYDATKI!E578+WYDATKI!E579</f>
        <v>160584</v>
      </c>
      <c r="I91" s="574">
        <f>WYDATKI!F577+WYDATKI!F578+WYDATKI!F579</f>
        <v>160582.96</v>
      </c>
      <c r="J91" s="719">
        <f t="shared" si="14"/>
        <v>99.99935236387186</v>
      </c>
      <c r="K91" s="573"/>
      <c r="L91" s="574"/>
      <c r="M91" s="719"/>
      <c r="N91" s="565">
        <f t="shared" si="13"/>
        <v>85501</v>
      </c>
      <c r="O91" s="573"/>
      <c r="P91" s="574"/>
      <c r="Q91" s="574"/>
      <c r="R91" s="662">
        <f>WYDATKI!E576</f>
        <v>19702209</v>
      </c>
      <c r="S91" s="662">
        <f>WYDATKI!F576</f>
        <v>19695844.4</v>
      </c>
      <c r="T91" s="690">
        <f>S91*100/R91</f>
        <v>99.96769600809735</v>
      </c>
      <c r="U91" s="593"/>
      <c r="V91" s="597"/>
      <c r="W91" s="597"/>
      <c r="X91" s="595">
        <v>19904000</v>
      </c>
      <c r="Y91" s="596">
        <v>19894790.57</v>
      </c>
      <c r="Z91" s="690">
        <f>Y91*100/X91</f>
        <v>99.95373075763666</v>
      </c>
      <c r="AA91" s="583">
        <f t="shared" si="12"/>
        <v>85501</v>
      </c>
      <c r="AB91" s="593"/>
      <c r="AC91" s="597"/>
      <c r="AD91" s="594"/>
      <c r="AE91" s="599"/>
      <c r="AF91" s="600"/>
      <c r="AG91" s="600"/>
      <c r="AH91" s="600"/>
      <c r="AI91" s="600"/>
      <c r="AJ91" s="600"/>
      <c r="AK91" s="685"/>
      <c r="AL91" s="13"/>
      <c r="AM91" s="14"/>
    </row>
    <row r="92" spans="1:39" ht="42.75" customHeight="1" hidden="1">
      <c r="A92" s="669">
        <v>85502</v>
      </c>
      <c r="B92" s="566" t="s">
        <v>239</v>
      </c>
      <c r="C92" s="671"/>
      <c r="D92" s="672"/>
      <c r="E92" s="567">
        <f>WYDATKI!E582</f>
        <v>4374124</v>
      </c>
      <c r="F92" s="568">
        <f>WYDATKI!F582</f>
        <v>4372088.329999999</v>
      </c>
      <c r="G92" s="745">
        <f>WYDATKI!J635</f>
        <v>90.61781823692122</v>
      </c>
      <c r="H92" s="587">
        <f>WYDATKI!E585+WYDATKI!E586+WYDATKI!E587+WYDATKI!E588</f>
        <v>414383</v>
      </c>
      <c r="I92" s="588">
        <f>WYDATKI!F585+WYDATKI!F586+WYDATKI!F587+WYDATKI!F588</f>
        <v>412795.50999999995</v>
      </c>
      <c r="J92" s="705">
        <f t="shared" si="14"/>
        <v>99.61690272043012</v>
      </c>
      <c r="K92" s="587"/>
      <c r="L92" s="588"/>
      <c r="M92" s="705"/>
      <c r="N92" s="669">
        <f t="shared" si="13"/>
        <v>85502</v>
      </c>
      <c r="O92" s="587"/>
      <c r="P92" s="588"/>
      <c r="Q92" s="588"/>
      <c r="R92" s="706">
        <f>WYDATKI!E584</f>
        <v>3929682</v>
      </c>
      <c r="S92" s="707">
        <f>WYDATKI!F584</f>
        <v>3929394.55</v>
      </c>
      <c r="T92" s="707">
        <f>WYDATKI!G584</f>
        <v>99.99268515874822</v>
      </c>
      <c r="U92" s="590"/>
      <c r="V92" s="591"/>
      <c r="W92" s="591"/>
      <c r="X92" s="708">
        <v>4373124</v>
      </c>
      <c r="Y92" s="592">
        <v>4371246.66</v>
      </c>
      <c r="Z92" s="592">
        <f>Y92*100/X92</f>
        <v>99.9570709634577</v>
      </c>
      <c r="AA92" s="683">
        <f t="shared" si="12"/>
        <v>85502</v>
      </c>
      <c r="AB92" s="590"/>
      <c r="AC92" s="591"/>
      <c r="AD92" s="598"/>
      <c r="AE92" s="599"/>
      <c r="AF92" s="600"/>
      <c r="AG92" s="600"/>
      <c r="AH92" s="600"/>
      <c r="AI92" s="600"/>
      <c r="AJ92" s="600"/>
      <c r="AK92" s="685"/>
      <c r="AL92" s="13"/>
      <c r="AM92" s="14"/>
    </row>
    <row r="93" spans="1:39" ht="15.75" customHeight="1" hidden="1">
      <c r="A93" s="669">
        <v>85503</v>
      </c>
      <c r="B93" s="566" t="s">
        <v>240</v>
      </c>
      <c r="C93" s="671"/>
      <c r="D93" s="672"/>
      <c r="E93" s="567">
        <f>WYDATKI!E594</f>
        <v>62138</v>
      </c>
      <c r="F93" s="568">
        <f>WYDATKI!F594</f>
        <v>57869.19</v>
      </c>
      <c r="G93" s="745">
        <f>WYDATKI!J656</f>
        <v>84.20290000000001</v>
      </c>
      <c r="H93" s="587">
        <f>WYDATKI!E595+WYDATKI!E596+WYDATKI!E597</f>
        <v>1138</v>
      </c>
      <c r="I93" s="588">
        <f>WYDATKI!F595+WYDATKI!F596+WYDATKI!F597</f>
        <v>874.11</v>
      </c>
      <c r="J93" s="705">
        <f t="shared" si="14"/>
        <v>76.81107205623901</v>
      </c>
      <c r="K93" s="587"/>
      <c r="L93" s="588"/>
      <c r="M93" s="705"/>
      <c r="N93" s="669">
        <f t="shared" si="13"/>
        <v>85503</v>
      </c>
      <c r="O93" s="587"/>
      <c r="P93" s="588"/>
      <c r="Q93" s="588"/>
      <c r="R93" s="706"/>
      <c r="S93" s="707"/>
      <c r="T93" s="707"/>
      <c r="U93" s="590"/>
      <c r="V93" s="591"/>
      <c r="W93" s="591"/>
      <c r="X93" s="708">
        <v>1138</v>
      </c>
      <c r="Y93" s="592">
        <v>874.11</v>
      </c>
      <c r="Z93" s="592">
        <f>Y93*100/X93</f>
        <v>76.81107205623901</v>
      </c>
      <c r="AA93" s="683">
        <f t="shared" si="12"/>
        <v>85503</v>
      </c>
      <c r="AB93" s="590"/>
      <c r="AC93" s="591"/>
      <c r="AD93" s="598"/>
      <c r="AE93" s="599"/>
      <c r="AF93" s="600"/>
      <c r="AG93" s="600"/>
      <c r="AH93" s="600"/>
      <c r="AI93" s="600"/>
      <c r="AJ93" s="600"/>
      <c r="AK93" s="685"/>
      <c r="AL93" s="13"/>
      <c r="AM93" s="14"/>
    </row>
    <row r="94" spans="1:39" ht="15" customHeight="1" hidden="1">
      <c r="A94" s="669">
        <v>85504</v>
      </c>
      <c r="B94" s="566" t="s">
        <v>190</v>
      </c>
      <c r="C94" s="776"/>
      <c r="D94" s="777"/>
      <c r="E94" s="567">
        <f>WYDATKI!E599</f>
        <v>1563464</v>
      </c>
      <c r="F94" s="568">
        <f>WYDATKI!F599</f>
        <v>1547563.2999999998</v>
      </c>
      <c r="G94" s="745">
        <f>WYDATKI!J657</f>
        <v>62.6705</v>
      </c>
      <c r="H94" s="587">
        <f>WYDATKI!E601+WYDATKI!E602+WYDATKI!E603+WYDATKI!E604+WYDATKI!E605</f>
        <v>115159</v>
      </c>
      <c r="I94" s="588">
        <f>WYDATKI!F601+WYDATKI!F602+WYDATKI!F603+WYDATKI!F604+WYDATKI!F605</f>
        <v>99607.91</v>
      </c>
      <c r="J94" s="705">
        <f t="shared" si="14"/>
        <v>86.4959838136837</v>
      </c>
      <c r="K94" s="587"/>
      <c r="L94" s="588"/>
      <c r="M94" s="589"/>
      <c r="N94" s="669">
        <f t="shared" si="13"/>
        <v>85504</v>
      </c>
      <c r="O94" s="587"/>
      <c r="P94" s="588"/>
      <c r="Q94" s="588"/>
      <c r="R94" s="706">
        <f>WYDATKI!E600</f>
        <v>1434900</v>
      </c>
      <c r="S94" s="707">
        <f>WYDATKI!F600</f>
        <v>1434900</v>
      </c>
      <c r="T94" s="707">
        <f>WYDATKI!G586</f>
        <v>99.99302260675411</v>
      </c>
      <c r="U94" s="590"/>
      <c r="V94" s="591"/>
      <c r="W94" s="591"/>
      <c r="X94" s="708">
        <v>1482730</v>
      </c>
      <c r="Y94" s="592">
        <v>1482720.41</v>
      </c>
      <c r="Z94" s="596">
        <f>Y94*100/X94</f>
        <v>99.99935322007379</v>
      </c>
      <c r="AA94" s="683">
        <f t="shared" si="12"/>
        <v>85504</v>
      </c>
      <c r="AB94" s="590"/>
      <c r="AC94" s="591"/>
      <c r="AD94" s="598"/>
      <c r="AE94" s="599"/>
      <c r="AF94" s="600"/>
      <c r="AG94" s="600"/>
      <c r="AH94" s="600"/>
      <c r="AI94" s="600"/>
      <c r="AJ94" s="600"/>
      <c r="AK94" s="685"/>
      <c r="AL94" s="13"/>
      <c r="AM94" s="14"/>
    </row>
    <row r="95" spans="1:39" ht="15.75" customHeight="1" hidden="1">
      <c r="A95" s="669">
        <v>85505</v>
      </c>
      <c r="B95" s="566" t="s">
        <v>241</v>
      </c>
      <c r="C95" s="776"/>
      <c r="D95" s="777"/>
      <c r="E95" s="567">
        <f>WYDATKI!E612</f>
        <v>222000</v>
      </c>
      <c r="F95" s="568">
        <f>WYDATKI!F612</f>
        <v>220000</v>
      </c>
      <c r="G95" s="745">
        <f>WYDATKI!J658</f>
        <v>99.99185453348692</v>
      </c>
      <c r="H95" s="587"/>
      <c r="I95" s="588"/>
      <c r="J95" s="705"/>
      <c r="K95" s="587"/>
      <c r="L95" s="588"/>
      <c r="M95" s="589"/>
      <c r="N95" s="669">
        <f t="shared" si="13"/>
        <v>85505</v>
      </c>
      <c r="O95" s="587">
        <f>WYDATKI!E613</f>
        <v>222000</v>
      </c>
      <c r="P95" s="588">
        <f>WYDATKI!F613</f>
        <v>220000</v>
      </c>
      <c r="Q95" s="588">
        <f>P95*100/O95</f>
        <v>99.09909909909909</v>
      </c>
      <c r="R95" s="706"/>
      <c r="S95" s="707"/>
      <c r="T95" s="707"/>
      <c r="U95" s="590"/>
      <c r="V95" s="591"/>
      <c r="W95" s="591"/>
      <c r="X95" s="708"/>
      <c r="Y95" s="592"/>
      <c r="Z95" s="592"/>
      <c r="AA95" s="683">
        <f t="shared" si="12"/>
        <v>85505</v>
      </c>
      <c r="AB95" s="590"/>
      <c r="AC95" s="591"/>
      <c r="AD95" s="598"/>
      <c r="AE95" s="599"/>
      <c r="AF95" s="600"/>
      <c r="AG95" s="600"/>
      <c r="AH95" s="600"/>
      <c r="AI95" s="600"/>
      <c r="AJ95" s="600"/>
      <c r="AK95" s="685"/>
      <c r="AL95" s="13"/>
      <c r="AM95" s="14"/>
    </row>
    <row r="96" spans="1:39" ht="24" customHeight="1" hidden="1">
      <c r="A96" s="669">
        <v>85506</v>
      </c>
      <c r="B96" s="566" t="s">
        <v>243</v>
      </c>
      <c r="C96" s="584"/>
      <c r="D96" s="585"/>
      <c r="E96" s="668">
        <f>WYDATKI!E614</f>
        <v>15000</v>
      </c>
      <c r="F96" s="606">
        <f>WYDATKI!F614</f>
        <v>12700</v>
      </c>
      <c r="G96" s="784">
        <f>WYDATKI!J659</f>
        <v>17.172</v>
      </c>
      <c r="H96" s="573"/>
      <c r="I96" s="574"/>
      <c r="J96" s="719"/>
      <c r="K96" s="573"/>
      <c r="L96" s="574"/>
      <c r="M96" s="661"/>
      <c r="N96" s="669">
        <f t="shared" si="13"/>
        <v>85506</v>
      </c>
      <c r="O96" s="573">
        <f>WYDATKI!E615</f>
        <v>15000</v>
      </c>
      <c r="P96" s="574">
        <f>WYDATKI!F615</f>
        <v>12700</v>
      </c>
      <c r="Q96" s="588">
        <f>P96*100/O96</f>
        <v>84.66666666666667</v>
      </c>
      <c r="R96" s="662"/>
      <c r="S96" s="663"/>
      <c r="T96" s="707"/>
      <c r="U96" s="593"/>
      <c r="V96" s="597"/>
      <c r="W96" s="597"/>
      <c r="X96" s="595"/>
      <c r="Y96" s="596"/>
      <c r="Z96" s="596"/>
      <c r="AA96" s="683">
        <f t="shared" si="12"/>
        <v>85506</v>
      </c>
      <c r="AB96" s="593"/>
      <c r="AC96" s="597"/>
      <c r="AD96" s="594"/>
      <c r="AE96" s="599"/>
      <c r="AF96" s="600"/>
      <c r="AG96" s="600"/>
      <c r="AH96" s="600"/>
      <c r="AI96" s="600"/>
      <c r="AJ96" s="600"/>
      <c r="AK96" s="685"/>
      <c r="AL96" s="13"/>
      <c r="AM96" s="14"/>
    </row>
    <row r="97" spans="1:39" ht="15" customHeight="1" hidden="1">
      <c r="A97" s="669">
        <v>85508</v>
      </c>
      <c r="B97" s="670" t="s">
        <v>244</v>
      </c>
      <c r="C97" s="671"/>
      <c r="D97" s="672"/>
      <c r="E97" s="567">
        <f>WYDATKI!E616</f>
        <v>32000</v>
      </c>
      <c r="F97" s="568">
        <f>WYDATKI!F616</f>
        <v>31647.98</v>
      </c>
      <c r="G97" s="745">
        <f>F97*100/E97</f>
        <v>98.8999375</v>
      </c>
      <c r="H97" s="587"/>
      <c r="I97" s="588"/>
      <c r="J97" s="705"/>
      <c r="K97" s="587"/>
      <c r="L97" s="588"/>
      <c r="M97" s="589"/>
      <c r="N97" s="669">
        <f t="shared" si="13"/>
        <v>85508</v>
      </c>
      <c r="O97" s="587"/>
      <c r="P97" s="587"/>
      <c r="Q97" s="588"/>
      <c r="R97" s="706"/>
      <c r="S97" s="707"/>
      <c r="T97" s="707"/>
      <c r="U97" s="590"/>
      <c r="V97" s="591"/>
      <c r="W97" s="591"/>
      <c r="X97" s="708"/>
      <c r="Y97" s="592"/>
      <c r="Z97" s="592"/>
      <c r="AA97" s="683">
        <f t="shared" si="12"/>
        <v>85508</v>
      </c>
      <c r="AB97" s="590"/>
      <c r="AC97" s="591"/>
      <c r="AD97" s="598"/>
      <c r="AE97" s="599"/>
      <c r="AF97" s="600"/>
      <c r="AG97" s="600"/>
      <c r="AH97" s="600"/>
      <c r="AI97" s="600"/>
      <c r="AJ97" s="600"/>
      <c r="AK97" s="685"/>
      <c r="AL97" s="13"/>
      <c r="AM97" s="14"/>
    </row>
    <row r="98" spans="1:39" ht="24" customHeight="1" hidden="1">
      <c r="A98" s="669">
        <v>85510</v>
      </c>
      <c r="B98" s="670" t="s">
        <v>246</v>
      </c>
      <c r="C98" s="671"/>
      <c r="D98" s="672"/>
      <c r="E98" s="567">
        <f>WYDATKI!E618</f>
        <v>174000</v>
      </c>
      <c r="F98" s="568">
        <f>WYDATKI!F618</f>
        <v>165449.35000000003</v>
      </c>
      <c r="G98" s="745">
        <f>F98*100/E98</f>
        <v>95.08583333333335</v>
      </c>
      <c r="H98" s="587">
        <f>WYDATKI!E620+WYDATKI!E621+WYDATKI!E622+WYDATKI!E623</f>
        <v>139202</v>
      </c>
      <c r="I98" s="588">
        <f>WYDATKI!F620+WYDATKI!F621+WYDATKI!F622+WYDATKI!F623</f>
        <v>132620.58</v>
      </c>
      <c r="J98" s="705">
        <f t="shared" si="14"/>
        <v>95.2720363213172</v>
      </c>
      <c r="K98" s="587"/>
      <c r="L98" s="588"/>
      <c r="M98" s="589"/>
      <c r="N98" s="669">
        <f t="shared" si="13"/>
        <v>85510</v>
      </c>
      <c r="O98" s="587"/>
      <c r="P98" s="587"/>
      <c r="Q98" s="588"/>
      <c r="R98" s="706">
        <f>WYDATKI!E619</f>
        <v>745</v>
      </c>
      <c r="S98" s="707">
        <f>WYDATKI!F619</f>
        <v>735</v>
      </c>
      <c r="T98" s="707">
        <f>WYDATKI!G590</f>
        <v>99.99298566636169</v>
      </c>
      <c r="U98" s="590"/>
      <c r="V98" s="591"/>
      <c r="W98" s="591"/>
      <c r="X98" s="708"/>
      <c r="Y98" s="592"/>
      <c r="Z98" s="592"/>
      <c r="AA98" s="683">
        <f t="shared" si="12"/>
        <v>85510</v>
      </c>
      <c r="AB98" s="590"/>
      <c r="AC98" s="591"/>
      <c r="AD98" s="598"/>
      <c r="AE98" s="599"/>
      <c r="AF98" s="600"/>
      <c r="AG98" s="600"/>
      <c r="AH98" s="600"/>
      <c r="AI98" s="600"/>
      <c r="AJ98" s="600"/>
      <c r="AK98" s="545"/>
      <c r="AL98" s="13"/>
      <c r="AM98" s="14"/>
    </row>
    <row r="99" spans="1:39" ht="15.75" customHeight="1" hidden="1">
      <c r="A99" s="637">
        <v>85595</v>
      </c>
      <c r="B99" s="695" t="s">
        <v>6</v>
      </c>
      <c r="C99" s="776"/>
      <c r="D99" s="777"/>
      <c r="E99" s="715">
        <f>WYDATKI!E632</f>
        <v>34500</v>
      </c>
      <c r="F99" s="673">
        <f>WYDATKI!F632</f>
        <v>33169.86</v>
      </c>
      <c r="G99" s="784">
        <f>WYDATKI!J664</f>
        <v>98</v>
      </c>
      <c r="H99" s="674"/>
      <c r="I99" s="779"/>
      <c r="J99" s="719"/>
      <c r="K99" s="674"/>
      <c r="L99" s="779"/>
      <c r="M99" s="786"/>
      <c r="N99" s="637">
        <f t="shared" si="13"/>
        <v>85595</v>
      </c>
      <c r="O99" s="674"/>
      <c r="P99" s="779"/>
      <c r="Q99" s="609"/>
      <c r="R99" s="713"/>
      <c r="S99" s="713"/>
      <c r="T99" s="775"/>
      <c r="U99" s="772"/>
      <c r="V99" s="773"/>
      <c r="W99" s="773"/>
      <c r="X99" s="774"/>
      <c r="Y99" s="775"/>
      <c r="Z99" s="775"/>
      <c r="AA99" s="783">
        <f t="shared" si="12"/>
        <v>85595</v>
      </c>
      <c r="AB99" s="772"/>
      <c r="AC99" s="773"/>
      <c r="AD99" s="788"/>
      <c r="AE99" s="599"/>
      <c r="AF99" s="600"/>
      <c r="AG99" s="600"/>
      <c r="AH99" s="600"/>
      <c r="AI99" s="600"/>
      <c r="AJ99" s="600"/>
      <c r="AK99" s="545"/>
      <c r="AL99" s="13"/>
      <c r="AM99" s="14"/>
    </row>
    <row r="100" spans="1:39" ht="13.5" customHeight="1">
      <c r="A100" s="623">
        <v>900</v>
      </c>
      <c r="B100" s="624" t="s">
        <v>28</v>
      </c>
      <c r="C100" s="747">
        <f>WYDATKI!E635</f>
        <v>11895497</v>
      </c>
      <c r="D100" s="625">
        <f>WYDATKI!F635</f>
        <v>10807249.45</v>
      </c>
      <c r="E100" s="626">
        <f>WYDATKI!H635</f>
        <v>11588206</v>
      </c>
      <c r="F100" s="533">
        <f>WYDATKI!I635</f>
        <v>10500979.45</v>
      </c>
      <c r="G100" s="743">
        <f>F100*100/E100</f>
        <v>90.61781823692122</v>
      </c>
      <c r="H100" s="628">
        <f>SUM(H101:H109)</f>
        <v>1043687</v>
      </c>
      <c r="I100" s="629">
        <f>SUM(I101:I109)</f>
        <v>1027159.0899999999</v>
      </c>
      <c r="J100" s="697">
        <f t="shared" si="14"/>
        <v>98.41639207923447</v>
      </c>
      <c r="K100" s="628"/>
      <c r="L100" s="629"/>
      <c r="M100" s="697"/>
      <c r="N100" s="623">
        <f t="shared" si="13"/>
        <v>900</v>
      </c>
      <c r="O100" s="628"/>
      <c r="P100" s="629"/>
      <c r="Q100" s="629"/>
      <c r="R100" s="698">
        <f>SUM(R101:R109)</f>
        <v>2000</v>
      </c>
      <c r="S100" s="528">
        <f>SUM(S101:S109)</f>
        <v>1797.9</v>
      </c>
      <c r="T100" s="539">
        <f>S100*100/R100</f>
        <v>89.895</v>
      </c>
      <c r="U100" s="631"/>
      <c r="V100" s="632"/>
      <c r="W100" s="632"/>
      <c r="X100" s="635"/>
      <c r="Y100" s="633"/>
      <c r="Z100" s="633"/>
      <c r="AA100" s="636">
        <f t="shared" si="12"/>
        <v>900</v>
      </c>
      <c r="AB100" s="631"/>
      <c r="AC100" s="632"/>
      <c r="AD100" s="634"/>
      <c r="AE100" s="543"/>
      <c r="AF100" s="544"/>
      <c r="AG100" s="544"/>
      <c r="AH100" s="544"/>
      <c r="AI100" s="544"/>
      <c r="AJ100" s="544"/>
      <c r="AK100" s="545"/>
      <c r="AL100" s="13"/>
      <c r="AM100" s="14"/>
    </row>
    <row r="101" spans="1:39" ht="15.75" customHeight="1" hidden="1">
      <c r="A101" s="565">
        <v>90001</v>
      </c>
      <c r="B101" s="566" t="str">
        <f>WYDATKI!D636</f>
        <v>Gospodarka ściekowa i ochrona środowiska </v>
      </c>
      <c r="C101" s="584"/>
      <c r="D101" s="585"/>
      <c r="E101" s="668">
        <f>WYDATKI!H636</f>
        <v>1114280</v>
      </c>
      <c r="F101" s="606">
        <f>WYDATKI!I636</f>
        <v>850435.29</v>
      </c>
      <c r="G101" s="784">
        <f>WYDATKI!J636</f>
        <v>76.32150716157518</v>
      </c>
      <c r="H101" s="573">
        <f>WYDATKI!E637+WYDATKI!E638</f>
        <v>59280</v>
      </c>
      <c r="I101" s="574">
        <f>WYDATKI!F637+WYDATKI!F638</f>
        <v>51276.03</v>
      </c>
      <c r="J101" s="719"/>
      <c r="K101" s="573"/>
      <c r="L101" s="574"/>
      <c r="M101" s="719"/>
      <c r="N101" s="565">
        <f t="shared" si="13"/>
        <v>90001</v>
      </c>
      <c r="O101" s="573"/>
      <c r="P101" s="574"/>
      <c r="Q101" s="574"/>
      <c r="R101" s="662"/>
      <c r="S101" s="663"/>
      <c r="T101" s="596"/>
      <c r="U101" s="593"/>
      <c r="V101" s="597"/>
      <c r="W101" s="597"/>
      <c r="X101" s="595"/>
      <c r="Y101" s="596"/>
      <c r="Z101" s="596"/>
      <c r="AA101" s="583">
        <f t="shared" si="12"/>
        <v>90001</v>
      </c>
      <c r="AB101" s="593"/>
      <c r="AC101" s="597"/>
      <c r="AD101" s="594"/>
      <c r="AE101" s="599"/>
      <c r="AF101" s="600"/>
      <c r="AG101" s="600"/>
      <c r="AH101" s="600"/>
      <c r="AI101" s="600"/>
      <c r="AJ101" s="600"/>
      <c r="AK101" s="545"/>
      <c r="AL101" s="13"/>
      <c r="AM101" s="14"/>
    </row>
    <row r="102" spans="1:56" ht="34.5" customHeight="1" hidden="1">
      <c r="A102" s="669">
        <v>90002</v>
      </c>
      <c r="B102" s="670" t="str">
        <f>WYDATKI!D644</f>
        <v>Gospodarka odpadami " Obsługa administracyjna systemu gospodarowania odpadami komunalnymi"</v>
      </c>
      <c r="C102" s="671"/>
      <c r="D102" s="672"/>
      <c r="E102" s="567">
        <f>WYDATKI!H642+WYDATKI!H644+WYDATKI!H660</f>
        <v>7512018</v>
      </c>
      <c r="F102" s="606">
        <f>WYDATKI!I642+WYDATKI!I644+WYDATKI!I660</f>
        <v>6888064.84</v>
      </c>
      <c r="G102" s="745">
        <f>WYDATKI!J644</f>
        <v>93.70703939253482</v>
      </c>
      <c r="H102" s="587">
        <f>WYDATKI!H646+WYDATKI!H647+WYDATKI!H648+WYDATKI!H649+WYDATKI!H650</f>
        <v>947907</v>
      </c>
      <c r="I102" s="588">
        <f>SUM(WYDATKI!I646:I650)</f>
        <v>940022.8599999999</v>
      </c>
      <c r="J102" s="705">
        <f>I102*100/H102</f>
        <v>99.16825806751082</v>
      </c>
      <c r="K102" s="587"/>
      <c r="L102" s="588"/>
      <c r="M102" s="705"/>
      <c r="N102" s="669">
        <f t="shared" si="13"/>
        <v>90002</v>
      </c>
      <c r="O102" s="587"/>
      <c r="P102" s="588"/>
      <c r="Q102" s="588"/>
      <c r="R102" s="706">
        <f>WYDATKI!H645</f>
        <v>2000</v>
      </c>
      <c r="S102" s="707">
        <f>WYDATKI!I645</f>
        <v>1797.9</v>
      </c>
      <c r="T102" s="592">
        <f>S102*100/R102</f>
        <v>89.895</v>
      </c>
      <c r="U102" s="590"/>
      <c r="V102" s="591"/>
      <c r="W102" s="591"/>
      <c r="X102" s="708"/>
      <c r="Y102" s="592"/>
      <c r="Z102" s="592"/>
      <c r="AA102" s="683">
        <f t="shared" si="12"/>
        <v>90002</v>
      </c>
      <c r="AB102" s="590"/>
      <c r="AC102" s="591"/>
      <c r="AD102" s="598"/>
      <c r="AE102" s="599"/>
      <c r="AF102" s="600"/>
      <c r="AG102" s="600"/>
      <c r="AH102" s="600"/>
      <c r="AI102" s="600"/>
      <c r="AJ102" s="600"/>
      <c r="AK102" s="545"/>
      <c r="AL102" s="299"/>
      <c r="AM102" s="205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</row>
    <row r="103" spans="1:56" ht="14.25" customHeight="1" hidden="1">
      <c r="A103" s="669">
        <v>90003</v>
      </c>
      <c r="B103" s="670" t="str">
        <f>WYDATKI!D663</f>
        <v>Oczyszczanie miast i wsi </v>
      </c>
      <c r="C103" s="671"/>
      <c r="D103" s="672"/>
      <c r="E103" s="567">
        <f>WYDATKI!H663</f>
        <v>531030</v>
      </c>
      <c r="F103" s="568">
        <f>WYDATKI!I663</f>
        <v>515328.61</v>
      </c>
      <c r="G103" s="745">
        <f>WYDATKI!J663</f>
        <v>97.04321978042672</v>
      </c>
      <c r="H103" s="587"/>
      <c r="I103" s="588"/>
      <c r="J103" s="705"/>
      <c r="K103" s="587"/>
      <c r="L103" s="588"/>
      <c r="M103" s="705"/>
      <c r="N103" s="669">
        <f t="shared" si="13"/>
        <v>90003</v>
      </c>
      <c r="O103" s="587"/>
      <c r="P103" s="588"/>
      <c r="Q103" s="588"/>
      <c r="R103" s="706"/>
      <c r="S103" s="707"/>
      <c r="T103" s="592"/>
      <c r="U103" s="590"/>
      <c r="V103" s="591"/>
      <c r="W103" s="591"/>
      <c r="X103" s="708"/>
      <c r="Y103" s="592"/>
      <c r="Z103" s="592"/>
      <c r="AA103" s="683">
        <f t="shared" si="12"/>
        <v>90003</v>
      </c>
      <c r="AB103" s="590"/>
      <c r="AC103" s="591"/>
      <c r="AD103" s="598"/>
      <c r="AE103" s="599"/>
      <c r="AF103" s="600"/>
      <c r="AG103" s="600"/>
      <c r="AH103" s="600"/>
      <c r="AI103" s="600"/>
      <c r="AJ103" s="600"/>
      <c r="AK103" s="545"/>
      <c r="AL103" s="299"/>
      <c r="AM103" s="205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56" ht="14.25" customHeight="1" hidden="1">
      <c r="A104" s="669">
        <v>90004</v>
      </c>
      <c r="B104" s="670" t="str">
        <f>WYDATKI!D667</f>
        <v>Utrzymanie zieleni w miastach i gminach</v>
      </c>
      <c r="C104" s="671"/>
      <c r="D104" s="672"/>
      <c r="E104" s="567">
        <f>WYDATKI!H667</f>
        <v>495000</v>
      </c>
      <c r="F104" s="568">
        <f>WYDATKI!I667</f>
        <v>494953.31</v>
      </c>
      <c r="G104" s="745">
        <f>WYDATKI!J667</f>
        <v>99.99056767676768</v>
      </c>
      <c r="H104" s="587"/>
      <c r="I104" s="588"/>
      <c r="J104" s="705"/>
      <c r="K104" s="587"/>
      <c r="L104" s="588"/>
      <c r="M104" s="705"/>
      <c r="N104" s="669">
        <f t="shared" si="13"/>
        <v>90004</v>
      </c>
      <c r="O104" s="587"/>
      <c r="P104" s="588"/>
      <c r="Q104" s="588"/>
      <c r="R104" s="706"/>
      <c r="S104" s="707"/>
      <c r="T104" s="592"/>
      <c r="U104" s="590"/>
      <c r="V104" s="591"/>
      <c r="W104" s="591"/>
      <c r="X104" s="708"/>
      <c r="Y104" s="592"/>
      <c r="Z104" s="592"/>
      <c r="AA104" s="683">
        <f t="shared" si="12"/>
        <v>90004</v>
      </c>
      <c r="AB104" s="590"/>
      <c r="AC104" s="591"/>
      <c r="AD104" s="598"/>
      <c r="AE104" s="599"/>
      <c r="AF104" s="600"/>
      <c r="AG104" s="600"/>
      <c r="AH104" s="600"/>
      <c r="AI104" s="600"/>
      <c r="AJ104" s="600"/>
      <c r="AK104" s="545"/>
      <c r="AL104" s="299"/>
      <c r="AM104" s="205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:56" ht="14.25" customHeight="1" hidden="1">
      <c r="A105" s="669">
        <v>90005</v>
      </c>
      <c r="B105" s="670" t="s">
        <v>247</v>
      </c>
      <c r="C105" s="671"/>
      <c r="D105" s="672"/>
      <c r="E105" s="567">
        <f>WYDATKI!H669</f>
        <v>157183</v>
      </c>
      <c r="F105" s="568">
        <f>WYDATKI!I669</f>
        <v>92378.78</v>
      </c>
      <c r="G105" s="745">
        <f>F105*100/E105</f>
        <v>58.77148292118105</v>
      </c>
      <c r="H105" s="587"/>
      <c r="I105" s="588"/>
      <c r="J105" s="705"/>
      <c r="K105" s="587"/>
      <c r="L105" s="588"/>
      <c r="M105" s="705"/>
      <c r="N105" s="669">
        <f t="shared" si="13"/>
        <v>90005</v>
      </c>
      <c r="O105" s="587"/>
      <c r="P105" s="588"/>
      <c r="Q105" s="588"/>
      <c r="R105" s="706"/>
      <c r="S105" s="707"/>
      <c r="T105" s="592"/>
      <c r="U105" s="590"/>
      <c r="V105" s="591"/>
      <c r="W105" s="591"/>
      <c r="X105" s="708"/>
      <c r="Y105" s="592"/>
      <c r="Z105" s="592"/>
      <c r="AA105" s="683">
        <f t="shared" si="12"/>
        <v>90005</v>
      </c>
      <c r="AB105" s="590"/>
      <c r="AC105" s="591"/>
      <c r="AD105" s="598"/>
      <c r="AE105" s="599"/>
      <c r="AF105" s="600"/>
      <c r="AG105" s="600"/>
      <c r="AH105" s="600"/>
      <c r="AI105" s="600"/>
      <c r="AJ105" s="600"/>
      <c r="AK105" s="545"/>
      <c r="AL105" s="299"/>
      <c r="AM105" s="205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:56" ht="27.75" customHeight="1" hidden="1">
      <c r="A106" s="669">
        <v>90008</v>
      </c>
      <c r="B106" s="670" t="str">
        <f>WYDATKI!D673</f>
        <v>Ochrona różnorodności biologicznej i krajobrazu</v>
      </c>
      <c r="C106" s="671"/>
      <c r="D106" s="672"/>
      <c r="E106" s="567">
        <f>WYDATKI!H673</f>
        <v>30000</v>
      </c>
      <c r="F106" s="568">
        <f>WYDATKI!I673</f>
        <v>4950</v>
      </c>
      <c r="G106" s="745">
        <f>F106*100/E106</f>
        <v>16.5</v>
      </c>
      <c r="H106" s="587"/>
      <c r="I106" s="588"/>
      <c r="J106" s="705"/>
      <c r="K106" s="587"/>
      <c r="L106" s="588"/>
      <c r="M106" s="705"/>
      <c r="N106" s="669">
        <f t="shared" si="13"/>
        <v>90008</v>
      </c>
      <c r="O106" s="587"/>
      <c r="P106" s="588"/>
      <c r="Q106" s="588"/>
      <c r="R106" s="706"/>
      <c r="S106" s="707"/>
      <c r="T106" s="592"/>
      <c r="U106" s="590"/>
      <c r="V106" s="591"/>
      <c r="W106" s="591"/>
      <c r="X106" s="708"/>
      <c r="Y106" s="592"/>
      <c r="Z106" s="592"/>
      <c r="AA106" s="683">
        <f t="shared" si="12"/>
        <v>90008</v>
      </c>
      <c r="AB106" s="590"/>
      <c r="AC106" s="591"/>
      <c r="AD106" s="598"/>
      <c r="AE106" s="599"/>
      <c r="AF106" s="600"/>
      <c r="AG106" s="600"/>
      <c r="AH106" s="600"/>
      <c r="AI106" s="600"/>
      <c r="AJ106" s="600"/>
      <c r="AK106" s="545"/>
      <c r="AL106" s="299"/>
      <c r="AM106" s="205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:56" s="43" customFormat="1" ht="14.25" customHeight="1" hidden="1">
      <c r="A107" s="669">
        <v>90015</v>
      </c>
      <c r="B107" s="670" t="str">
        <f>WYDATKI!D675</f>
        <v>Oświetlenie ulic, placów i dróg </v>
      </c>
      <c r="C107" s="671"/>
      <c r="D107" s="672"/>
      <c r="E107" s="567">
        <f>WYDATKI!H675</f>
        <v>1413625</v>
      </c>
      <c r="F107" s="568">
        <f>WYDATKI!I675</f>
        <v>1342829.51</v>
      </c>
      <c r="G107" s="745">
        <f>WYDATKI!J675</f>
        <v>94.99191864886373</v>
      </c>
      <c r="H107" s="587">
        <f>WYDATKI!E676+WYDATKI!E677</f>
        <v>36500</v>
      </c>
      <c r="I107" s="587">
        <f>WYDATKI!F676+WYDATKI!F677</f>
        <v>35860.2</v>
      </c>
      <c r="J107" s="705">
        <f>I107*100/H107</f>
        <v>98.24712328767122</v>
      </c>
      <c r="K107" s="587"/>
      <c r="L107" s="588"/>
      <c r="M107" s="705"/>
      <c r="N107" s="669">
        <f t="shared" si="13"/>
        <v>90015</v>
      </c>
      <c r="O107" s="587"/>
      <c r="P107" s="588"/>
      <c r="Q107" s="588"/>
      <c r="R107" s="706"/>
      <c r="S107" s="707"/>
      <c r="T107" s="592"/>
      <c r="U107" s="590"/>
      <c r="V107" s="591"/>
      <c r="W107" s="591"/>
      <c r="X107" s="708"/>
      <c r="Y107" s="592"/>
      <c r="Z107" s="592"/>
      <c r="AA107" s="683">
        <f t="shared" si="12"/>
        <v>90015</v>
      </c>
      <c r="AB107" s="590"/>
      <c r="AC107" s="591"/>
      <c r="AD107" s="598"/>
      <c r="AE107" s="599"/>
      <c r="AF107" s="600"/>
      <c r="AG107" s="600"/>
      <c r="AH107" s="600"/>
      <c r="AI107" s="600"/>
      <c r="AJ107" s="600"/>
      <c r="AK107" s="545"/>
      <c r="AL107" s="299"/>
      <c r="AM107" s="205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</row>
    <row r="108" spans="1:56" ht="33" customHeight="1" hidden="1">
      <c r="A108" s="669">
        <v>90019</v>
      </c>
      <c r="B108" s="670" t="str">
        <f>WYDATKI!D683</f>
        <v>Wpływy i wydatki związane z gromadzeniem środków z opłat i kar za korzystanie ze środowiska</v>
      </c>
      <c r="C108" s="671"/>
      <c r="D108" s="672"/>
      <c r="E108" s="567">
        <f>WYDATKI!H683</f>
        <v>25970</v>
      </c>
      <c r="F108" s="568">
        <f>WYDATKI!I683</f>
        <v>15990</v>
      </c>
      <c r="G108" s="745">
        <f>WYDATKI!J683</f>
        <v>61.57104351174432</v>
      </c>
      <c r="H108" s="587"/>
      <c r="I108" s="588"/>
      <c r="J108" s="705"/>
      <c r="K108" s="587"/>
      <c r="L108" s="588"/>
      <c r="M108" s="705"/>
      <c r="N108" s="669">
        <f t="shared" si="13"/>
        <v>90019</v>
      </c>
      <c r="O108" s="587"/>
      <c r="P108" s="588"/>
      <c r="Q108" s="588"/>
      <c r="R108" s="706"/>
      <c r="S108" s="707"/>
      <c r="T108" s="592"/>
      <c r="U108" s="590"/>
      <c r="V108" s="591"/>
      <c r="W108" s="591"/>
      <c r="X108" s="708"/>
      <c r="Y108" s="592"/>
      <c r="Z108" s="592"/>
      <c r="AA108" s="683">
        <f t="shared" si="12"/>
        <v>90019</v>
      </c>
      <c r="AB108" s="590"/>
      <c r="AC108" s="591"/>
      <c r="AD108" s="598"/>
      <c r="AE108" s="599"/>
      <c r="AF108" s="600"/>
      <c r="AG108" s="600"/>
      <c r="AH108" s="600"/>
      <c r="AI108" s="600"/>
      <c r="AJ108" s="600"/>
      <c r="AK108" s="545"/>
      <c r="AL108" s="299"/>
      <c r="AM108" s="205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</row>
    <row r="109" spans="1:39" ht="15.75" customHeight="1" hidden="1">
      <c r="A109" s="620">
        <v>90095</v>
      </c>
      <c r="B109" s="621" t="str">
        <f>WYDATKI!D685</f>
        <v>Pozostała działalność</v>
      </c>
      <c r="C109" s="709"/>
      <c r="D109" s="710"/>
      <c r="E109" s="605">
        <f>WYDATKI!H685</f>
        <v>309100</v>
      </c>
      <c r="F109" s="622">
        <f>WYDATKI!I685</f>
        <v>296049.11</v>
      </c>
      <c r="G109" s="768">
        <f>F109*100/E109</f>
        <v>95.77777741831123</v>
      </c>
      <c r="H109" s="677"/>
      <c r="I109" s="675"/>
      <c r="J109" s="712"/>
      <c r="K109" s="677"/>
      <c r="L109" s="675"/>
      <c r="M109" s="712"/>
      <c r="N109" s="620">
        <f t="shared" si="13"/>
        <v>90095</v>
      </c>
      <c r="O109" s="677"/>
      <c r="P109" s="675"/>
      <c r="Q109" s="675"/>
      <c r="R109" s="678"/>
      <c r="S109" s="679"/>
      <c r="T109" s="680"/>
      <c r="U109" s="612"/>
      <c r="V109" s="613"/>
      <c r="W109" s="613"/>
      <c r="X109" s="682"/>
      <c r="Y109" s="680"/>
      <c r="Z109" s="680"/>
      <c r="AA109" s="714">
        <f t="shared" si="12"/>
        <v>90095</v>
      </c>
      <c r="AB109" s="612"/>
      <c r="AC109" s="613"/>
      <c r="AD109" s="681"/>
      <c r="AE109" s="599"/>
      <c r="AF109" s="600"/>
      <c r="AG109" s="600"/>
      <c r="AH109" s="600"/>
      <c r="AI109" s="600"/>
      <c r="AJ109" s="600"/>
      <c r="AK109" s="545"/>
      <c r="AL109" s="13"/>
      <c r="AM109" s="14"/>
    </row>
    <row r="110" spans="1:39" ht="14.25" customHeight="1">
      <c r="A110" s="529">
        <v>921</v>
      </c>
      <c r="B110" s="530" t="s">
        <v>85</v>
      </c>
      <c r="C110" s="789">
        <f>WYDATKI!E690</f>
        <v>4900000</v>
      </c>
      <c r="D110" s="531">
        <f>WYDATKI!F690</f>
        <v>4877371</v>
      </c>
      <c r="E110" s="532">
        <f>WYDATKI!H690</f>
        <v>4850000</v>
      </c>
      <c r="F110" s="686">
        <f>WYDATKI!I690</f>
        <v>4841960</v>
      </c>
      <c r="G110" s="790">
        <f>F110*100/E110</f>
        <v>99.83422680412372</v>
      </c>
      <c r="H110" s="535"/>
      <c r="I110" s="628"/>
      <c r="J110" s="778"/>
      <c r="K110" s="535"/>
      <c r="L110" s="528"/>
      <c r="M110" s="528"/>
      <c r="N110" s="529">
        <f t="shared" si="13"/>
        <v>921</v>
      </c>
      <c r="O110" s="535">
        <f>SUM(O111:O114)</f>
        <v>4842000</v>
      </c>
      <c r="P110" s="528">
        <f>SUM(P111:P114)</f>
        <v>4841110</v>
      </c>
      <c r="Q110" s="528">
        <f>P110*100/O110</f>
        <v>99.98161916563403</v>
      </c>
      <c r="R110" s="713"/>
      <c r="S110" s="787"/>
      <c r="T110" s="775"/>
      <c r="U110" s="772"/>
      <c r="V110" s="773"/>
      <c r="W110" s="773"/>
      <c r="X110" s="791"/>
      <c r="Y110" s="775"/>
      <c r="Z110" s="775"/>
      <c r="AA110" s="542">
        <f t="shared" si="12"/>
        <v>921</v>
      </c>
      <c r="AB110" s="772"/>
      <c r="AC110" s="773"/>
      <c r="AD110" s="788"/>
      <c r="AE110" s="599"/>
      <c r="AF110" s="600"/>
      <c r="AG110" s="600"/>
      <c r="AH110" s="600"/>
      <c r="AI110" s="600"/>
      <c r="AJ110" s="600"/>
      <c r="AK110" s="545"/>
      <c r="AL110" s="13"/>
      <c r="AM110" s="14"/>
    </row>
    <row r="111" spans="1:39" ht="15.75" customHeight="1" hidden="1">
      <c r="A111" s="564">
        <v>92109</v>
      </c>
      <c r="B111" s="547" t="str">
        <f>WYDATKI!D691</f>
        <v>Domy i ośrodki kultury, świetlice i kluby </v>
      </c>
      <c r="C111" s="603"/>
      <c r="D111" s="604"/>
      <c r="E111" s="654">
        <f>WYDATKI!H691</f>
        <v>3590000</v>
      </c>
      <c r="F111" s="696">
        <f>WYDATKI!I691</f>
        <v>3590000</v>
      </c>
      <c r="G111" s="750">
        <f>WYDATKI!J691</f>
        <v>100</v>
      </c>
      <c r="H111" s="608"/>
      <c r="I111" s="609"/>
      <c r="J111" s="719"/>
      <c r="K111" s="608"/>
      <c r="L111" s="609"/>
      <c r="M111" s="609"/>
      <c r="N111" s="564">
        <f t="shared" si="13"/>
        <v>92109</v>
      </c>
      <c r="O111" s="556">
        <f>WYDATKI!E692</f>
        <v>3590000</v>
      </c>
      <c r="P111" s="557">
        <f>WYDATKI!I692</f>
        <v>3590000</v>
      </c>
      <c r="Q111" s="557">
        <f>WYDATKI!J692</f>
        <v>100</v>
      </c>
      <c r="R111" s="688"/>
      <c r="S111" s="689"/>
      <c r="T111" s="690"/>
      <c r="U111" s="691"/>
      <c r="V111" s="692"/>
      <c r="W111" s="692"/>
      <c r="X111" s="792"/>
      <c r="Y111" s="690"/>
      <c r="Z111" s="690"/>
      <c r="AA111" s="664">
        <f t="shared" si="12"/>
        <v>92109</v>
      </c>
      <c r="AB111" s="691"/>
      <c r="AC111" s="692"/>
      <c r="AD111" s="693"/>
      <c r="AE111" s="599"/>
      <c r="AF111" s="600"/>
      <c r="AG111" s="600"/>
      <c r="AH111" s="600"/>
      <c r="AI111" s="600"/>
      <c r="AJ111" s="600"/>
      <c r="AK111" s="545"/>
      <c r="AL111" s="13"/>
      <c r="AM111" s="14"/>
    </row>
    <row r="112" spans="1:39" ht="14.25" customHeight="1" hidden="1">
      <c r="A112" s="669">
        <v>92116</v>
      </c>
      <c r="B112" s="670" t="str">
        <f>WYDATKI!D693</f>
        <v>Biblioteki </v>
      </c>
      <c r="C112" s="753"/>
      <c r="D112" s="754"/>
      <c r="E112" s="684">
        <f>WYDATKI!H693</f>
        <v>1200000</v>
      </c>
      <c r="F112" s="763">
        <f>WYDATKI!I693</f>
        <v>1200000</v>
      </c>
      <c r="G112" s="793">
        <f>WYDATKI!J693</f>
        <v>100</v>
      </c>
      <c r="H112" s="755"/>
      <c r="I112" s="756"/>
      <c r="J112" s="705"/>
      <c r="K112" s="755"/>
      <c r="L112" s="756"/>
      <c r="M112" s="756"/>
      <c r="N112" s="669">
        <f t="shared" si="13"/>
        <v>92116</v>
      </c>
      <c r="O112" s="755">
        <f>WYDATKI!H694</f>
        <v>1200000</v>
      </c>
      <c r="P112" s="756">
        <f>WYDATKI!I694</f>
        <v>1200000</v>
      </c>
      <c r="Q112" s="756">
        <f>WYDATKI!J694</f>
        <v>100</v>
      </c>
      <c r="R112" s="706"/>
      <c r="S112" s="707"/>
      <c r="T112" s="592"/>
      <c r="U112" s="758"/>
      <c r="V112" s="759"/>
      <c r="W112" s="759"/>
      <c r="X112" s="758"/>
      <c r="Y112" s="760"/>
      <c r="Z112" s="760"/>
      <c r="AA112" s="683">
        <f t="shared" si="12"/>
        <v>92116</v>
      </c>
      <c r="AB112" s="758"/>
      <c r="AC112" s="759"/>
      <c r="AD112" s="762"/>
      <c r="AE112" s="599"/>
      <c r="AF112" s="600"/>
      <c r="AG112" s="600"/>
      <c r="AH112" s="600"/>
      <c r="AI112" s="600"/>
      <c r="AJ112" s="600"/>
      <c r="AK112" s="545"/>
      <c r="AL112" s="13"/>
      <c r="AM112" s="14"/>
    </row>
    <row r="113" spans="1:39" ht="33.75" customHeight="1" hidden="1">
      <c r="A113" s="722">
        <v>92127</v>
      </c>
      <c r="B113" s="764" t="s">
        <v>249</v>
      </c>
      <c r="C113" s="753"/>
      <c r="D113" s="754"/>
      <c r="E113" s="684">
        <f>WYDATKI!E695</f>
        <v>8000</v>
      </c>
      <c r="F113" s="568">
        <f>WYDATKI!F695</f>
        <v>850</v>
      </c>
      <c r="G113" s="793">
        <f>F113*100/E113</f>
        <v>10.625</v>
      </c>
      <c r="H113" s="755"/>
      <c r="I113" s="756"/>
      <c r="J113" s="705"/>
      <c r="K113" s="755"/>
      <c r="L113" s="756"/>
      <c r="M113" s="756"/>
      <c r="N113" s="722">
        <f t="shared" si="13"/>
        <v>92127</v>
      </c>
      <c r="O113" s="755"/>
      <c r="P113" s="756"/>
      <c r="Q113" s="756"/>
      <c r="R113" s="769"/>
      <c r="S113" s="770"/>
      <c r="T113" s="760"/>
      <c r="U113" s="758"/>
      <c r="V113" s="759"/>
      <c r="W113" s="759"/>
      <c r="X113" s="758"/>
      <c r="Y113" s="760"/>
      <c r="Z113" s="760"/>
      <c r="AA113" s="723">
        <f t="shared" si="12"/>
        <v>92127</v>
      </c>
      <c r="AB113" s="758"/>
      <c r="AC113" s="759"/>
      <c r="AD113" s="762"/>
      <c r="AE113" s="599"/>
      <c r="AF113" s="600"/>
      <c r="AG113" s="600"/>
      <c r="AH113" s="600"/>
      <c r="AI113" s="600"/>
      <c r="AJ113" s="600"/>
      <c r="AK113" s="545"/>
      <c r="AL113" s="13"/>
      <c r="AM113" s="14"/>
    </row>
    <row r="114" spans="1:39" ht="13.5" customHeight="1" hidden="1">
      <c r="A114" s="620">
        <v>92195</v>
      </c>
      <c r="B114" s="621" t="str">
        <f>WYDATKI!D698</f>
        <v>Pozostała działalność</v>
      </c>
      <c r="C114" s="753"/>
      <c r="D114" s="754"/>
      <c r="E114" s="684">
        <f>WYDATKI!H698</f>
        <v>52000</v>
      </c>
      <c r="F114" s="673">
        <f>WYDATKI!I698</f>
        <v>51110</v>
      </c>
      <c r="G114" s="793">
        <f>WYDATKI!J694</f>
        <v>100</v>
      </c>
      <c r="H114" s="755"/>
      <c r="I114" s="756"/>
      <c r="J114" s="705"/>
      <c r="K114" s="755"/>
      <c r="L114" s="756"/>
      <c r="M114" s="756"/>
      <c r="N114" s="722">
        <f t="shared" si="13"/>
        <v>92195</v>
      </c>
      <c r="O114" s="755">
        <f>WYDATKI!H699</f>
        <v>52000</v>
      </c>
      <c r="P114" s="756">
        <f>WYDATKI!I699</f>
        <v>51110</v>
      </c>
      <c r="Q114" s="756">
        <f>WYDATKI!J699</f>
        <v>98.28846153846153</v>
      </c>
      <c r="R114" s="769"/>
      <c r="S114" s="770"/>
      <c r="T114" s="760"/>
      <c r="U114" s="758"/>
      <c r="V114" s="759"/>
      <c r="W114" s="759"/>
      <c r="X114" s="758"/>
      <c r="Y114" s="760"/>
      <c r="Z114" s="760"/>
      <c r="AA114" s="723">
        <f t="shared" si="12"/>
        <v>92195</v>
      </c>
      <c r="AB114" s="758"/>
      <c r="AC114" s="759"/>
      <c r="AD114" s="762"/>
      <c r="AE114" s="599"/>
      <c r="AF114" s="600"/>
      <c r="AG114" s="600"/>
      <c r="AH114" s="600"/>
      <c r="AI114" s="600"/>
      <c r="AJ114" s="600"/>
      <c r="AK114" s="545"/>
      <c r="AL114" s="13"/>
      <c r="AM114" s="14"/>
    </row>
    <row r="115" spans="1:39" ht="17.25" customHeight="1">
      <c r="A115" s="623">
        <v>925</v>
      </c>
      <c r="B115" s="530" t="s">
        <v>287</v>
      </c>
      <c r="C115" s="747"/>
      <c r="D115" s="625"/>
      <c r="E115" s="626">
        <f>WYDATKI!H701</f>
        <v>10000</v>
      </c>
      <c r="F115" s="533">
        <f>WYDATKI!I701</f>
        <v>9960</v>
      </c>
      <c r="G115" s="743">
        <f>WYDATKI!J695</f>
        <v>10.625</v>
      </c>
      <c r="H115" s="628"/>
      <c r="I115" s="629"/>
      <c r="J115" s="629"/>
      <c r="K115" s="628"/>
      <c r="L115" s="629"/>
      <c r="M115" s="629"/>
      <c r="N115" s="623">
        <f t="shared" si="13"/>
        <v>925</v>
      </c>
      <c r="O115" s="628"/>
      <c r="P115" s="629"/>
      <c r="Q115" s="629"/>
      <c r="R115" s="698"/>
      <c r="S115" s="794"/>
      <c r="T115" s="650"/>
      <c r="U115" s="648"/>
      <c r="V115" s="649"/>
      <c r="W115" s="649"/>
      <c r="X115" s="648"/>
      <c r="Y115" s="650"/>
      <c r="Z115" s="650"/>
      <c r="AA115" s="636">
        <f t="shared" si="12"/>
        <v>925</v>
      </c>
      <c r="AB115" s="648"/>
      <c r="AC115" s="649"/>
      <c r="AD115" s="651"/>
      <c r="AE115" s="599"/>
      <c r="AF115" s="600"/>
      <c r="AG115" s="600"/>
      <c r="AH115" s="600"/>
      <c r="AI115" s="600"/>
      <c r="AJ115" s="600"/>
      <c r="AK115" s="545"/>
      <c r="AL115" s="13"/>
      <c r="AM115" s="14"/>
    </row>
    <row r="116" spans="1:39" ht="0.75" customHeight="1" hidden="1">
      <c r="A116" s="637">
        <v>92503</v>
      </c>
      <c r="B116" s="695" t="str">
        <f>WYDATKI!D702</f>
        <v>Rezerwaty i pomniki przyrody</v>
      </c>
      <c r="C116" s="603"/>
      <c r="D116" s="604"/>
      <c r="E116" s="654">
        <f>WYDATKI!H702</f>
        <v>10000</v>
      </c>
      <c r="F116" s="639">
        <f>WYDATKI!I702</f>
        <v>9960</v>
      </c>
      <c r="G116" s="748">
        <f>WYDATKI!J696</f>
        <v>42.5</v>
      </c>
      <c r="H116" s="608"/>
      <c r="I116" s="609"/>
      <c r="J116" s="705"/>
      <c r="K116" s="608"/>
      <c r="L116" s="609"/>
      <c r="M116" s="609"/>
      <c r="N116" s="637">
        <f t="shared" si="13"/>
        <v>92503</v>
      </c>
      <c r="O116" s="608"/>
      <c r="P116" s="609"/>
      <c r="Q116" s="609"/>
      <c r="R116" s="701"/>
      <c r="S116" s="702"/>
      <c r="T116" s="614"/>
      <c r="U116" s="615"/>
      <c r="V116" s="616"/>
      <c r="W116" s="616"/>
      <c r="X116" s="751"/>
      <c r="Y116" s="614"/>
      <c r="Z116" s="614"/>
      <c r="AA116" s="783">
        <f t="shared" si="12"/>
        <v>92503</v>
      </c>
      <c r="AB116" s="615"/>
      <c r="AC116" s="616"/>
      <c r="AD116" s="617"/>
      <c r="AE116" s="599"/>
      <c r="AF116" s="600"/>
      <c r="AG116" s="600"/>
      <c r="AH116" s="600"/>
      <c r="AI116" s="600"/>
      <c r="AJ116" s="600"/>
      <c r="AK116" s="545"/>
      <c r="AL116" s="13"/>
      <c r="AM116" s="14"/>
    </row>
    <row r="117" spans="1:39" ht="12.75" customHeight="1" thickBot="1">
      <c r="A117" s="623">
        <v>926</v>
      </c>
      <c r="B117" s="624" t="s">
        <v>191</v>
      </c>
      <c r="C117" s="747">
        <f>WYDATKI!E704</f>
        <v>7180908</v>
      </c>
      <c r="D117" s="625">
        <f>WYDATKI!F704</f>
        <v>7166995.05</v>
      </c>
      <c r="E117" s="626">
        <f>WYDATKI!H704</f>
        <v>6587008</v>
      </c>
      <c r="F117" s="686">
        <f>WYDATKI!I704</f>
        <v>6574187.05</v>
      </c>
      <c r="G117" s="743">
        <f>F117*100/E117</f>
        <v>99.80536003599813</v>
      </c>
      <c r="H117" s="628">
        <f>H118</f>
        <v>2036000</v>
      </c>
      <c r="I117" s="629">
        <f>I118</f>
        <v>2025925.7</v>
      </c>
      <c r="J117" s="629">
        <f>I117*100/H117</f>
        <v>99.50519155206287</v>
      </c>
      <c r="K117" s="628"/>
      <c r="L117" s="629"/>
      <c r="M117" s="629"/>
      <c r="N117" s="623">
        <f t="shared" si="13"/>
        <v>926</v>
      </c>
      <c r="O117" s="628">
        <f>O118</f>
        <v>402765</v>
      </c>
      <c r="P117" s="629">
        <f>P118</f>
        <v>401210</v>
      </c>
      <c r="Q117" s="629">
        <f>P117*100/O117</f>
        <v>99.61391878638909</v>
      </c>
      <c r="R117" s="698">
        <f>SUM(R118:R118)</f>
        <v>36450</v>
      </c>
      <c r="S117" s="699">
        <f>SUM(S118:S118)</f>
        <v>36434.88</v>
      </c>
      <c r="T117" s="633">
        <f>S117*100/R117</f>
        <v>99.9585185185185</v>
      </c>
      <c r="U117" s="648"/>
      <c r="V117" s="649"/>
      <c r="W117" s="649"/>
      <c r="X117" s="648"/>
      <c r="Y117" s="650"/>
      <c r="Z117" s="650"/>
      <c r="AA117" s="636">
        <f t="shared" si="12"/>
        <v>926</v>
      </c>
      <c r="AB117" s="648"/>
      <c r="AC117" s="649"/>
      <c r="AD117" s="651"/>
      <c r="AE117" s="599"/>
      <c r="AF117" s="600"/>
      <c r="AG117" s="600"/>
      <c r="AH117" s="600"/>
      <c r="AI117" s="600"/>
      <c r="AJ117" s="600"/>
      <c r="AK117" s="545"/>
      <c r="AL117" s="13"/>
      <c r="AM117" s="14"/>
    </row>
    <row r="118" spans="1:39" ht="15.75" customHeight="1" hidden="1" thickBot="1">
      <c r="A118" s="795">
        <v>92605</v>
      </c>
      <c r="B118" s="602" t="str">
        <f>WYDATKI!D705</f>
        <v>Zadania w zakresie kultury fizycznej i sportu </v>
      </c>
      <c r="C118" s="603"/>
      <c r="D118" s="604"/>
      <c r="E118" s="654">
        <f>WYDATKI!H705</f>
        <v>6587008</v>
      </c>
      <c r="F118" s="654">
        <f>WYDATKI!I705</f>
        <v>6574187.05</v>
      </c>
      <c r="G118" s="750">
        <f>G117</f>
        <v>99.80536003599813</v>
      </c>
      <c r="H118" s="608">
        <f>WYDATKI!H709+WYDATKI!H710+WYDATKI!H711+WYDATKI!H712+WYDATKI!H713</f>
        <v>2036000</v>
      </c>
      <c r="I118" s="609">
        <f>WYDATKI!I709+WYDATKI!I710+WYDATKI!I711+WYDATKI!I712+WYDATKI!I713</f>
        <v>2025925.7</v>
      </c>
      <c r="J118" s="609">
        <f>I118*100/H118</f>
        <v>99.50519155206287</v>
      </c>
      <c r="K118" s="796"/>
      <c r="L118" s="797"/>
      <c r="M118" s="797"/>
      <c r="N118" s="795">
        <f t="shared" si="13"/>
        <v>92605</v>
      </c>
      <c r="O118" s="796">
        <f>WYDATKI!H706</f>
        <v>402765</v>
      </c>
      <c r="P118" s="797">
        <f>WYDATKI!I706</f>
        <v>401210</v>
      </c>
      <c r="Q118" s="609">
        <f>WYDATKI!J705</f>
        <v>99.80536003599813</v>
      </c>
      <c r="R118" s="701">
        <f>WYDATKI!E707+WYDATKI!E708</f>
        <v>36450</v>
      </c>
      <c r="S118" s="701">
        <f>WYDATKI!F707+WYDATKI!F708</f>
        <v>36434.88</v>
      </c>
      <c r="T118" s="614">
        <f>T117</f>
        <v>99.9585185185185</v>
      </c>
      <c r="U118" s="615"/>
      <c r="V118" s="616"/>
      <c r="W118" s="616"/>
      <c r="X118" s="751"/>
      <c r="Y118" s="614"/>
      <c r="Z118" s="614"/>
      <c r="AA118" s="798">
        <f t="shared" si="12"/>
        <v>92605</v>
      </c>
      <c r="AB118" s="615"/>
      <c r="AC118" s="616"/>
      <c r="AD118" s="617"/>
      <c r="AE118" s="599"/>
      <c r="AF118" s="600"/>
      <c r="AG118" s="600"/>
      <c r="AH118" s="600"/>
      <c r="AI118" s="600"/>
      <c r="AJ118" s="600"/>
      <c r="AK118" s="545"/>
      <c r="AL118" s="13"/>
      <c r="AM118" s="14"/>
    </row>
    <row r="119" spans="1:39" s="4" customFormat="1" ht="13.5" customHeight="1" thickBot="1">
      <c r="A119" s="799"/>
      <c r="B119" s="800" t="s">
        <v>88</v>
      </c>
      <c r="C119" s="801" t="e">
        <f>SUM(C117,C110,C100,C84,#REF!,C73,C68,C54,C51,C49,C44,C41,C33,#REF!,C29,C27,C25,C22,#REF!,C20,C15,#REF!)</f>
        <v>#REF!</v>
      </c>
      <c r="D119" s="802" t="e">
        <f>SUM(D117,D110,D100,D84,#REF!,D73,D68,D54,D51,D49,D44,D41,D33,#REF!,D29,D27,D25,D22,#REF!,D20,D15,#REF!)</f>
        <v>#REF!</v>
      </c>
      <c r="E119" s="803">
        <f>SUM(E117,E110,E100,E84,E73,E68,E54,E51,E49,E44,E41,E33,E29,E27,E25,E22,E20,E15,E90,E82,E115)</f>
        <v>196693970</v>
      </c>
      <c r="F119" s="804">
        <f>SUM(F117,F110,F100,F84,F73,F68,F54,F51,F49,F44,F41,F33,F29,F27,F25,F22,F20,F15,F90,F82,F115)</f>
        <v>190826379.59000003</v>
      </c>
      <c r="G119" s="805">
        <f>F119*100/E119</f>
        <v>97.01689359872091</v>
      </c>
      <c r="H119" s="806">
        <f>H22+H27+H29+H33+H41+H54+H68+H73+H84+H90+H100+H110+H117+H82</f>
        <v>74250504</v>
      </c>
      <c r="I119" s="807">
        <f>I22+I27+I29+I33+I41+I54+I68+I73+I84+I90+I100+I110+I117+I82</f>
        <v>73397260.96</v>
      </c>
      <c r="J119" s="808">
        <f>I119*100/H119</f>
        <v>98.85085892480944</v>
      </c>
      <c r="K119" s="806">
        <f>SUM(K117,K110,K100,K82,K73,K68,K54,K51,K49,K44,K41,K33,K29,K27,K25,K22,K20,K15)</f>
        <v>158951</v>
      </c>
      <c r="L119" s="807">
        <f>SUM(L117,L110,L100,L82,L73,L68,L54,L51,L49,L44,L41,L33,L29,L27,L25,L22,L20,L15)</f>
        <v>116906.53000000001</v>
      </c>
      <c r="M119" s="808">
        <f>L119*100/K119</f>
        <v>73.54878547476896</v>
      </c>
      <c r="N119" s="807"/>
      <c r="O119" s="806">
        <f>SUM(O117,O110,O68,O54,O44,O33,O29,O27,O25,O22,O15,O84,O73,O90)</f>
        <v>31449871</v>
      </c>
      <c r="P119" s="807">
        <f>SUM(P117,P110,P68,P54,P44,P33,P29,P27,P25,P22,P15,P84,P73,P90)</f>
        <v>30965799.160000004</v>
      </c>
      <c r="Q119" s="807">
        <f>P119*100/O119</f>
        <v>98.46081454515348</v>
      </c>
      <c r="R119" s="806">
        <f>SUM(R117,R110,R100,R84,R73,R68,R54,R51,R49,R44,R41,R33,R29,R27,R25,R22,R20,R15,R90)</f>
        <v>29249115</v>
      </c>
      <c r="S119" s="807">
        <f>SUM(S117,S110,S100,S84,S73,S68,S54,S51,S49,S44,S41,S33,S29,S27,S25,S22,S20,S15,S90)</f>
        <v>28981813.799999997</v>
      </c>
      <c r="T119" s="808">
        <f>S119*100/R119</f>
        <v>99.08612209292485</v>
      </c>
      <c r="U119" s="806">
        <f>SUM(U117+U110+U100+U84+U73+U68+U54+U51+U49+U44+U41+U33+U29+U27+U25+U22+U20+U15)</f>
        <v>2220000</v>
      </c>
      <c r="V119" s="807">
        <f>SUM(V117+V110+V100+V84+V73+V68+V54+V51+V49+V44+V41+V33+V29+V27+V25+V22+V20+V15)</f>
        <v>2164954.44</v>
      </c>
      <c r="W119" s="807">
        <f>V119*100/U119</f>
        <v>97.52047027027027</v>
      </c>
      <c r="X119" s="806">
        <f>X15+X33+X41+X54+X73+X90</f>
        <v>26675154</v>
      </c>
      <c r="Y119" s="807">
        <f>Y15+Y33+Y41+Y54+Y73+Y90</f>
        <v>26617874.96</v>
      </c>
      <c r="Z119" s="808">
        <f>Y119*100/X119</f>
        <v>99.78527194257248</v>
      </c>
      <c r="AA119" s="807"/>
      <c r="AB119" s="806">
        <f>SUM(AB117,AB110,AB100,AB84,AB73,AB68,AB54,AB51,AB49,AB44,AB41,AB33,AB29,AB27,AB25,AB22,AB20,AB15)</f>
        <v>2519040</v>
      </c>
      <c r="AC119" s="807">
        <f>SUM(AC117,AC110,AC100,AC84,AC73,AC68,AC54,AC51,AC49,AC44,AC41,AC33,AC29,AC27,AC25,AC22,AC20,AC15)</f>
        <v>2443717</v>
      </c>
      <c r="AD119" s="807">
        <f>AC119*100/AB119</f>
        <v>97.00985295985772</v>
      </c>
      <c r="AE119" s="809"/>
      <c r="AF119" s="810"/>
      <c r="AG119" s="810"/>
      <c r="AH119" s="810"/>
      <c r="AI119" s="810"/>
      <c r="AJ119" s="810"/>
      <c r="AK119" s="545"/>
      <c r="AL119" s="13"/>
      <c r="AM119" s="14"/>
    </row>
    <row r="120" spans="1:37" ht="4.5" customHeight="1">
      <c r="A120" s="811"/>
      <c r="B120" s="811"/>
      <c r="C120" s="811"/>
      <c r="D120" s="811"/>
      <c r="E120" s="812"/>
      <c r="F120" s="685"/>
      <c r="G120" s="813"/>
      <c r="H120" s="814"/>
      <c r="I120" s="815"/>
      <c r="J120" s="816"/>
      <c r="K120" s="812"/>
      <c r="L120" s="685"/>
      <c r="M120" s="811"/>
      <c r="N120" s="811"/>
      <c r="O120" s="812"/>
      <c r="P120" s="685"/>
      <c r="Q120" s="811"/>
      <c r="R120" s="817"/>
      <c r="S120" s="818"/>
      <c r="T120" s="819"/>
      <c r="U120" s="812"/>
      <c r="V120" s="685"/>
      <c r="W120" s="811"/>
      <c r="X120" s="817"/>
      <c r="Y120" s="820"/>
      <c r="Z120" s="819"/>
      <c r="AA120" s="821"/>
      <c r="AB120" s="812"/>
      <c r="AC120" s="685"/>
      <c r="AD120" s="811"/>
      <c r="AE120" s="816"/>
      <c r="AF120" s="816"/>
      <c r="AG120" s="816"/>
      <c r="AH120" s="816"/>
      <c r="AI120" s="816"/>
      <c r="AJ120" s="816"/>
      <c r="AK120" s="822"/>
    </row>
    <row r="121" spans="1:37" ht="12.75">
      <c r="A121" s="855" t="s">
        <v>192</v>
      </c>
      <c r="B121" s="856"/>
      <c r="C121" s="856"/>
      <c r="D121" s="856"/>
      <c r="E121" s="856"/>
      <c r="F121" s="856"/>
      <c r="G121" s="856"/>
      <c r="H121" s="856"/>
      <c r="I121" s="856"/>
      <c r="J121" s="856"/>
      <c r="K121" s="856"/>
      <c r="L121" s="856"/>
      <c r="M121" s="856"/>
      <c r="N121" s="856"/>
      <c r="O121" s="856"/>
      <c r="P121" s="856"/>
      <c r="Q121" s="856"/>
      <c r="R121" s="817"/>
      <c r="S121" s="818"/>
      <c r="T121" s="819"/>
      <c r="U121" s="812"/>
      <c r="V121" s="685"/>
      <c r="W121" s="811"/>
      <c r="X121" s="817"/>
      <c r="Y121" s="820"/>
      <c r="Z121" s="819"/>
      <c r="AA121" s="821"/>
      <c r="AB121" s="812"/>
      <c r="AC121" s="685"/>
      <c r="AD121" s="811"/>
      <c r="AE121" s="816"/>
      <c r="AF121" s="816"/>
      <c r="AG121" s="816"/>
      <c r="AH121" s="816"/>
      <c r="AI121" s="816"/>
      <c r="AJ121" s="816"/>
      <c r="AK121" s="822"/>
    </row>
    <row r="122" spans="1:37" ht="12" customHeight="1">
      <c r="A122" s="823"/>
      <c r="B122" s="823" t="s">
        <v>193</v>
      </c>
      <c r="C122" s="823"/>
      <c r="D122" s="823"/>
      <c r="E122" s="824"/>
      <c r="F122" s="825" t="s">
        <v>194</v>
      </c>
      <c r="G122" s="826"/>
      <c r="H122" s="827"/>
      <c r="I122" s="828"/>
      <c r="J122" s="829"/>
      <c r="K122" s="824"/>
      <c r="L122" s="825"/>
      <c r="M122" s="823"/>
      <c r="N122" s="823"/>
      <c r="O122" s="825"/>
      <c r="P122" s="825"/>
      <c r="Q122" s="823"/>
      <c r="R122" s="817"/>
      <c r="S122" s="818"/>
      <c r="T122" s="819"/>
      <c r="U122" s="812"/>
      <c r="V122" s="685"/>
      <c r="W122" s="811"/>
      <c r="X122" s="817"/>
      <c r="Y122" s="820"/>
      <c r="Z122" s="819"/>
      <c r="AA122" s="821"/>
      <c r="AB122" s="812"/>
      <c r="AC122" s="685"/>
      <c r="AD122" s="811"/>
      <c r="AE122" s="811"/>
      <c r="AF122" s="811"/>
      <c r="AG122" s="811"/>
      <c r="AH122" s="811"/>
      <c r="AI122" s="811"/>
      <c r="AJ122" s="811"/>
      <c r="AK122" s="822"/>
    </row>
    <row r="123" spans="1:37" ht="12.75">
      <c r="A123" s="857" t="s">
        <v>195</v>
      </c>
      <c r="B123" s="858"/>
      <c r="C123" s="858"/>
      <c r="D123" s="858"/>
      <c r="E123" s="858"/>
      <c r="F123" s="858"/>
      <c r="G123" s="858"/>
      <c r="H123" s="858"/>
      <c r="I123" s="858"/>
      <c r="J123" s="858"/>
      <c r="K123" s="858"/>
      <c r="L123" s="858"/>
      <c r="M123" s="858"/>
      <c r="N123" s="858"/>
      <c r="O123" s="858"/>
      <c r="P123" s="858"/>
      <c r="Q123" s="858"/>
      <c r="R123" s="817"/>
      <c r="S123" s="818"/>
      <c r="T123" s="819"/>
      <c r="U123" s="812"/>
      <c r="V123" s="685"/>
      <c r="W123" s="811"/>
      <c r="X123" s="817"/>
      <c r="Y123" s="820"/>
      <c r="Z123" s="819"/>
      <c r="AA123" s="821"/>
      <c r="AB123" s="812"/>
      <c r="AC123" s="685"/>
      <c r="AD123" s="811"/>
      <c r="AE123" s="811"/>
      <c r="AF123" s="811"/>
      <c r="AG123" s="811"/>
      <c r="AH123" s="811"/>
      <c r="AI123" s="811"/>
      <c r="AJ123" s="811"/>
      <c r="AK123" s="811"/>
    </row>
    <row r="124" spans="1:37" ht="12.75">
      <c r="A124" s="823"/>
      <c r="B124" s="823" t="s">
        <v>193</v>
      </c>
      <c r="C124" s="823"/>
      <c r="D124" s="823"/>
      <c r="E124" s="824"/>
      <c r="F124" s="825" t="s">
        <v>194</v>
      </c>
      <c r="G124" s="826"/>
      <c r="H124" s="827"/>
      <c r="I124" s="828"/>
      <c r="J124" s="829"/>
      <c r="K124" s="824"/>
      <c r="L124" s="825"/>
      <c r="M124" s="823"/>
      <c r="N124" s="823"/>
      <c r="O124" s="824"/>
      <c r="P124" s="825"/>
      <c r="Q124" s="823"/>
      <c r="R124" s="817"/>
      <c r="S124" s="818"/>
      <c r="T124" s="819"/>
      <c r="U124" s="812"/>
      <c r="V124" s="685"/>
      <c r="W124" s="811"/>
      <c r="X124" s="817"/>
      <c r="Y124" s="820"/>
      <c r="Z124" s="819"/>
      <c r="AA124" s="821"/>
      <c r="AB124" s="812"/>
      <c r="AC124" s="685"/>
      <c r="AD124" s="811"/>
      <c r="AE124" s="811"/>
      <c r="AF124" s="811"/>
      <c r="AG124" s="811"/>
      <c r="AH124" s="811"/>
      <c r="AI124" s="811"/>
      <c r="AJ124" s="811"/>
      <c r="AK124" s="811"/>
    </row>
  </sheetData>
  <sheetProtection/>
  <mergeCells count="18">
    <mergeCell ref="D10:D13"/>
    <mergeCell ref="R10:T12"/>
    <mergeCell ref="K12:M12"/>
    <mergeCell ref="H11:J12"/>
    <mergeCell ref="U10:W12"/>
    <mergeCell ref="AB10:AD12"/>
    <mergeCell ref="AA10:AA13"/>
    <mergeCell ref="X10:Z12"/>
    <mergeCell ref="A121:Q121"/>
    <mergeCell ref="A123:Q123"/>
    <mergeCell ref="A10:A13"/>
    <mergeCell ref="N10:N13"/>
    <mergeCell ref="C10:C13"/>
    <mergeCell ref="A7:M7"/>
    <mergeCell ref="H10:J10"/>
    <mergeCell ref="E10:G12"/>
    <mergeCell ref="O10:Q12"/>
    <mergeCell ref="B10:B13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2019-03-27T09:47:57Z</cp:lastPrinted>
  <dcterms:created xsi:type="dcterms:W3CDTF">2002-11-06T08:41:21Z</dcterms:created>
  <dcterms:modified xsi:type="dcterms:W3CDTF">2019-03-27T14:22:44Z</dcterms:modified>
  <cp:category/>
  <cp:version/>
  <cp:contentType/>
  <cp:contentStatus/>
</cp:coreProperties>
</file>